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activeTab="0"/>
  </bookViews>
  <sheets>
    <sheet name="Instructions" sheetId="1" r:id="rId1"/>
    <sheet name="inputPrYr" sheetId="2" r:id="rId2"/>
    <sheet name="inputOth" sheetId="3" r:id="rId3"/>
    <sheet name="inputBudSum" sheetId="4" r:id="rId4"/>
    <sheet name="CPA Summary" sheetId="5" r:id="rId5"/>
    <sheet name="cert" sheetId="6" r:id="rId6"/>
    <sheet name="Comp1" sheetId="7" r:id="rId7"/>
    <sheet name="Comp2" sheetId="8" r:id="rId8"/>
    <sheet name="Comp3" sheetId="9" r:id="rId9"/>
    <sheet name="mvalloc" sheetId="10" r:id="rId10"/>
    <sheet name="transfers" sheetId="11" r:id="rId11"/>
    <sheet name="TransferStatutes" sheetId="12" r:id="rId12"/>
    <sheet name="debt" sheetId="13" r:id="rId13"/>
    <sheet name="lpform" sheetId="14" r:id="rId14"/>
    <sheet name="Library Grant " sheetId="15" r:id="rId15"/>
    <sheet name="general" sheetId="16" r:id="rId16"/>
    <sheet name="GenDetail" sheetId="17" r:id="rId17"/>
    <sheet name="DebtSvs-Library" sheetId="18" r:id="rId18"/>
    <sheet name="levy page9" sheetId="19" r:id="rId19"/>
    <sheet name="levy page10" sheetId="20" r:id="rId20"/>
    <sheet name="levy page11" sheetId="21" r:id="rId21"/>
    <sheet name="levy page12" sheetId="22" r:id="rId22"/>
    <sheet name="levy page13" sheetId="23" r:id="rId23"/>
    <sheet name="Sp Hiway" sheetId="24" r:id="rId24"/>
    <sheet name="nolevypage15" sheetId="25" r:id="rId25"/>
    <sheet name="nolevypage16" sheetId="26" r:id="rId26"/>
    <sheet name="nolevypage17" sheetId="27" r:id="rId27"/>
    <sheet name="SinNoLevy18" sheetId="28" r:id="rId28"/>
    <sheet name="SinNoLevy19" sheetId="29" r:id="rId29"/>
    <sheet name="SinNoLevy20" sheetId="30" r:id="rId30"/>
    <sheet name="SinNoLevy21" sheetId="31" r:id="rId31"/>
    <sheet name="NonBudA" sheetId="32" r:id="rId32"/>
    <sheet name="NonBudB" sheetId="33" r:id="rId33"/>
    <sheet name="NonBudFunds" sheetId="34" r:id="rId34"/>
    <sheet name="summ" sheetId="35" r:id="rId35"/>
    <sheet name="nhood" sheetId="36" r:id="rId36"/>
    <sheet name="Tab A" sheetId="37" r:id="rId37"/>
    <sheet name="Tab B" sheetId="38" r:id="rId38"/>
    <sheet name="Tab C" sheetId="39" r:id="rId39"/>
    <sheet name="Tab D" sheetId="40" r:id="rId40"/>
    <sheet name="Tab E" sheetId="41" r:id="rId41"/>
    <sheet name="Mill Rate Computation" sheetId="42" r:id="rId42"/>
    <sheet name="Helpful Links" sheetId="43" r:id="rId43"/>
    <sheet name="Legend" sheetId="44" r:id="rId44"/>
  </sheets>
  <definedNames>
    <definedName name="_xlnm.Print_Area" localSheetId="6">'Comp1'!$A$1:$J$54</definedName>
    <definedName name="_xlnm.Print_Area" localSheetId="17">'DebtSvs-Library'!$B$1:$E$87</definedName>
    <definedName name="_xlnm.Print_Area" localSheetId="16">'GenDetail'!$A$1:$D$61</definedName>
    <definedName name="_xlnm.Print_Area" localSheetId="15">'general'!$B$1:$E$120</definedName>
    <definedName name="_xlnm.Print_Area" localSheetId="1">'inputPrYr'!$A$1:$E$123</definedName>
    <definedName name="_xlnm.Print_Area" localSheetId="0">'Instructions'!$A$1:$A$102</definedName>
    <definedName name="_xlnm.Print_Area" localSheetId="19">'levy page10'!$B$1:$E$87</definedName>
    <definedName name="_xlnm.Print_Area" localSheetId="20">'levy page11'!$A$1:$E$87</definedName>
    <definedName name="_xlnm.Print_Area" localSheetId="21">'levy page12'!$A$1:$E$87</definedName>
    <definedName name="_xlnm.Print_Area" localSheetId="22">'levy page13'!$A$1:$E$87</definedName>
    <definedName name="_xlnm.Print_Area" localSheetId="18">'levy page9'!$A$1:$E$87</definedName>
    <definedName name="_xlnm.Print_Area" localSheetId="14">'Library Grant '!$A$1:$J$40</definedName>
    <definedName name="_xlnm.Print_Area" localSheetId="13">'lpform'!$B$1:$I$38</definedName>
    <definedName name="_xlnm.Print_Area" localSheetId="41">'Mill Rate Computation'!#REF!</definedName>
    <definedName name="_xlnm.Print_Area" localSheetId="34">'summ'!$A$2:$H$61</definedName>
  </definedNames>
  <calcPr fullCalcOnLoad="1"/>
</workbook>
</file>

<file path=xl/sharedStrings.xml><?xml version="1.0" encoding="utf-8"?>
<sst xmlns="http://schemas.openxmlformats.org/spreadsheetml/2006/main" count="2056" uniqueCount="1060">
  <si>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</si>
  <si>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</si>
  <si>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</si>
  <si>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</si>
  <si>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</si>
  <si>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</si>
  <si>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</si>
  <si>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</si>
  <si>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</si>
  <si>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</si>
  <si>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</si>
  <si>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</si>
  <si>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</si>
  <si>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</si>
  <si>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</si>
  <si>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</si>
  <si>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</si>
  <si>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</si>
  <si>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</si>
  <si>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</si>
  <si>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</si>
  <si>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</si>
  <si>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</si>
  <si>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</si>
  <si>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</si>
  <si>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</si>
  <si>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</si>
  <si>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</si>
  <si>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</si>
  <si>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</si>
  <si>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</si>
  <si>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</si>
  <si>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</si>
  <si>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</si>
  <si>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</si>
  <si>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</si>
  <si>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</si>
  <si>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</si>
  <si>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</si>
  <si>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</si>
  <si>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</si>
  <si>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</si>
  <si>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</si>
  <si>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</si>
  <si>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</si>
  <si>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</si>
  <si>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</si>
  <si>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</si>
  <si>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</si>
  <si>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</si>
  <si>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</si>
  <si>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</si>
  <si>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</si>
  <si>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</si>
  <si>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</si>
  <si>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</si>
  <si>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</si>
  <si>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</si>
  <si>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</si>
  <si>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</si>
  <si>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</si>
  <si>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</si>
  <si>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</si>
  <si>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</si>
  <si>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</si>
  <si>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</si>
  <si>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</si>
  <si>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</si>
  <si>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</si>
  <si>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</si>
  <si>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</si>
  <si>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</si>
  <si>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</si>
  <si>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</si>
  <si>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</si>
  <si>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</si>
  <si>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</si>
  <si>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</si>
  <si>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</si>
  <si>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</si>
  <si>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</si>
  <si>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</si>
  <si>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</si>
  <si>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</si>
  <si>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</si>
  <si>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</si>
  <si>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</si>
  <si>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</si>
  <si>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</si>
  <si>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</si>
  <si>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</si>
  <si>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</si>
  <si>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</si>
  <si>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</si>
  <si>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</si>
  <si>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</si>
  <si>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</si>
  <si>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</si>
  <si>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</si>
  <si>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</si>
  <si>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</si>
  <si>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</si>
  <si>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</si>
  <si>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</si>
  <si>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</si>
  <si>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</si>
  <si>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</si>
  <si>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</si>
  <si>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</si>
  <si>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</si>
  <si>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</si>
  <si>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</si>
  <si>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</si>
  <si>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</si>
  <si>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</si>
  <si>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</si>
  <si>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</si>
  <si>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</si>
  <si>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</si>
  <si>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</si>
  <si>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</si>
  <si>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</si>
  <si>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</si>
  <si>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</si>
  <si>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</si>
  <si>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</si>
  <si>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</si>
  <si>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</si>
  <si>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</si>
  <si>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</si>
  <si>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</si>
  <si>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</si>
  <si>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</si>
  <si>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</si>
  <si>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</si>
  <si>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</si>
  <si>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</si>
  <si>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</si>
  <si>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</si>
  <si>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</si>
  <si>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</si>
  <si>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</si>
  <si>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</si>
  <si>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</si>
  <si>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</si>
  <si>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t>Territory Added: (Current Year Only)</t>
  </si>
  <si>
    <t>Neighborhood Revitalization</t>
  </si>
  <si>
    <t>16\20 M Vehicle Tax</t>
  </si>
  <si>
    <t>LAVTR</t>
  </si>
  <si>
    <t>City and County Revenue Sharing</t>
  </si>
  <si>
    <t xml:space="preserve">   </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</si>
  <si>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</si>
  <si>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</si>
  <si>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</si>
  <si>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</si>
  <si>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</si>
  <si>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</si>
  <si>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</si>
  <si>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</si>
  <si>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</si>
  <si>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</si>
  <si>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</si>
  <si>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</si>
  <si>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</si>
  <si>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</si>
  <si>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</si>
  <si>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</si>
  <si>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</si>
  <si>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</si>
  <si>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</si>
  <si>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</si>
  <si>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</si>
  <si>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</si>
  <si>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</si>
  <si>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</si>
  <si>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</si>
  <si>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</si>
  <si>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</si>
  <si>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</si>
  <si>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</si>
  <si>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</si>
  <si>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</si>
  <si>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</si>
  <si>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</si>
  <si>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</si>
  <si>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</si>
  <si>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</si>
  <si>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</si>
  <si>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</si>
  <si>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</si>
  <si>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</si>
  <si>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</si>
  <si>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</si>
  <si>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</si>
  <si>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</si>
  <si>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</si>
  <si>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</si>
  <si>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</si>
  <si>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</si>
  <si>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</si>
  <si>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</si>
  <si>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</si>
  <si>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</si>
  <si>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</si>
  <si>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</si>
  <si>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</si>
  <si>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</si>
  <si>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</si>
  <si>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</si>
  <si>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</si>
  <si>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</si>
  <si>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</si>
  <si>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</si>
  <si>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</si>
  <si>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</si>
  <si>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 xml:space="preserve">The input for the following comes directly from </t>
  </si>
  <si>
    <t>Budget Summary</t>
  </si>
  <si>
    <t xml:space="preserve">Data can be entered into the green shaded area of the budget worksheets.  </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</si>
  <si>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</si>
  <si>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</si>
  <si>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</si>
  <si>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</si>
  <si>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</si>
  <si>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</si>
  <si>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</si>
  <si>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</si>
  <si>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</si>
  <si>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</si>
  <si>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</si>
  <si>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</si>
  <si>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</si>
  <si>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</si>
  <si>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</si>
  <si>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</si>
  <si>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</si>
  <si>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</si>
  <si>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</si>
  <si>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</si>
  <si>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</si>
  <si>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</si>
  <si>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</si>
  <si>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</si>
  <si>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</si>
  <si>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</si>
  <si>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</si>
  <si>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</si>
  <si>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</si>
  <si>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</si>
  <si>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</si>
  <si>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</si>
  <si>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</si>
  <si>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</si>
  <si>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</si>
  <si>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</si>
  <si>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</si>
  <si>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</si>
  <si>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</si>
  <si>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</si>
  <si>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</si>
  <si>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</si>
  <si>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</si>
  <si>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</si>
  <si>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</si>
  <si>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</si>
  <si>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</si>
  <si>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</si>
  <si>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</si>
  <si>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</si>
  <si>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</si>
  <si>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</si>
  <si>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</si>
  <si>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</si>
  <si>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</si>
  <si>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</si>
  <si>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</si>
  <si>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</si>
  <si>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</si>
  <si>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</si>
  <si>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</si>
  <si>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</si>
  <si>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</si>
  <si>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</si>
  <si>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</si>
  <si>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</si>
  <si>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</si>
  <si>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</si>
  <si>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</si>
  <si>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</si>
  <si>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</si>
  <si>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</si>
  <si>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</si>
  <si>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</si>
  <si>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</si>
  <si>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</si>
  <si>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</si>
  <si>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</si>
  <si>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</si>
  <si>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</si>
  <si>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</si>
  <si>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</si>
  <si>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</si>
  <si>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</si>
  <si>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</si>
  <si>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</si>
  <si>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</si>
  <si>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</si>
  <si>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</si>
  <si>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</si>
  <si>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</si>
  <si>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</si>
  <si>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</si>
  <si>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</si>
  <si>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</si>
  <si>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</si>
  <si>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</si>
  <si>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</si>
  <si>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</si>
  <si>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</si>
  <si>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</si>
  <si>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</si>
  <si>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</si>
  <si>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</si>
  <si>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</si>
  <si>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</si>
  <si>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</si>
  <si>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</si>
  <si>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</si>
  <si>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</si>
  <si>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</si>
  <si>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</si>
  <si>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</si>
  <si>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</si>
  <si>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</si>
  <si>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</si>
  <si>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</si>
  <si>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</si>
  <si>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</si>
  <si>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</si>
  <si>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</si>
  <si>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</si>
  <si>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</si>
  <si>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</si>
  <si>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</si>
  <si>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</si>
  <si>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</si>
  <si>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</si>
  <si>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</si>
  <si>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</si>
  <si>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</si>
  <si>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</si>
  <si>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</si>
  <si>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</si>
  <si>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</si>
  <si>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</si>
  <si>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</si>
  <si>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</si>
  <si>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</si>
  <si>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</si>
  <si>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</si>
  <si>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</si>
  <si>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</si>
  <si>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</si>
  <si>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</si>
  <si>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</si>
  <si>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</si>
  <si>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</si>
  <si>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</si>
  <si>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</si>
  <si>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</si>
  <si>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</si>
  <si>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</si>
  <si>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</si>
  <si>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</si>
  <si>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</si>
  <si>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</si>
  <si>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</si>
  <si>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</si>
  <si>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</si>
  <si>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</si>
  <si>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</si>
  <si>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</si>
  <si>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</si>
  <si>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</si>
  <si>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</si>
  <si>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</si>
  <si>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</si>
  <si>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</si>
  <si>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</si>
  <si>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</si>
  <si>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</si>
  <si>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</si>
  <si>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</si>
  <si>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</si>
  <si>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</si>
  <si>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</si>
  <si>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</si>
  <si>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</si>
  <si>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</si>
  <si>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</si>
  <si>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</si>
  <si>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</si>
  <si>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</si>
  <si>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</si>
  <si>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</si>
  <si>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</si>
  <si>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</si>
  <si>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</si>
  <si>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</si>
  <si>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</si>
  <si>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</si>
  <si>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</si>
  <si>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</si>
  <si>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</si>
  <si>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</si>
  <si>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</si>
  <si>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</si>
  <si>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</si>
  <si>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</si>
  <si>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</si>
  <si>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</si>
  <si>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</si>
  <si>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</si>
  <si>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</si>
  <si>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</si>
  <si>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</si>
  <si>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</si>
  <si>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</si>
  <si>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</si>
  <si>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</si>
  <si>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</si>
  <si>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</si>
  <si>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</si>
  <si>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</si>
  <si>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</si>
  <si>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</si>
  <si>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</si>
  <si>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</si>
  <si>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</si>
  <si>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</si>
  <si>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</si>
  <si>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</si>
  <si>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</si>
  <si>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</si>
  <si>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</si>
  <si>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</si>
  <si>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</si>
  <si>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</si>
  <si>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</si>
  <si>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</si>
  <si>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</si>
  <si>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</si>
  <si>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</si>
  <si>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</si>
  <si>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</si>
  <si>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</si>
  <si>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</si>
  <si>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</si>
  <si>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</si>
  <si>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</si>
  <si>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</si>
  <si>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</si>
  <si>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</si>
  <si>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</si>
  <si>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</si>
  <si>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</si>
  <si>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</si>
  <si>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</si>
  <si>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</si>
  <si>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</si>
  <si>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</si>
  <si>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</si>
  <si>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</si>
  <si>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</si>
  <si>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</si>
  <si>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</si>
  <si>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</si>
  <si>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</si>
  <si>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</si>
  <si>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</si>
  <si>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</si>
  <si>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</si>
  <si>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</si>
  <si>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</si>
  <si>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</si>
  <si>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</si>
  <si>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</si>
  <si>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</si>
  <si>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</si>
  <si>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</si>
  <si>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</si>
  <si>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</si>
  <si>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</si>
  <si>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</si>
  <si>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</si>
  <si>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</si>
  <si>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</si>
  <si>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</si>
  <si>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</si>
  <si>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</si>
  <si>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</si>
  <si>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</si>
  <si>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</si>
  <si>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</si>
  <si>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</si>
  <si>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</si>
  <si>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</si>
  <si>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</si>
  <si>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</si>
  <si>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</si>
  <si>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</si>
  <si>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</si>
  <si>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</si>
  <si>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</si>
  <si>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</si>
  <si>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</si>
  <si>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</si>
  <si>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</si>
  <si>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</si>
  <si>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</si>
  <si>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</si>
  <si>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</si>
  <si>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</si>
  <si>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</si>
  <si>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</si>
  <si>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</si>
  <si>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</si>
  <si>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</si>
  <si>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</si>
  <si>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</si>
  <si>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</si>
  <si>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</si>
  <si>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</si>
  <si>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</si>
  <si>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</si>
  <si>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</si>
  <si>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</si>
  <si>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</si>
  <si>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</si>
  <si>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</si>
  <si>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</si>
  <si>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</si>
  <si>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</si>
  <si>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</si>
  <si>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</si>
  <si>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</si>
  <si>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</si>
  <si>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</si>
  <si>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</si>
  <si>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</si>
  <si>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</si>
  <si>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</si>
  <si>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</si>
  <si>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</si>
  <si>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</si>
  <si>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</si>
  <si>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</si>
  <si>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</si>
  <si>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</si>
  <si>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</si>
  <si>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</si>
  <si>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</si>
  <si>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</si>
  <si>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</si>
  <si>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</si>
  <si>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</si>
  <si>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</si>
  <si>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</si>
  <si>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</si>
  <si>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</si>
  <si>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</si>
  <si>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</si>
  <si>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</si>
  <si>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</si>
  <si>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</si>
  <si>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</si>
  <si>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</si>
  <si>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</si>
  <si>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</si>
  <si>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</si>
  <si>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</si>
  <si>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</si>
  <si>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</si>
  <si>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</si>
  <si>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</si>
  <si>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</si>
  <si>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</si>
  <si>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</si>
  <si>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</si>
  <si>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</si>
  <si>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</si>
  <si>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</si>
  <si>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</si>
  <si>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</si>
  <si>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</si>
  <si>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</si>
  <si>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</si>
  <si>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</si>
  <si>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</si>
  <si>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</si>
  <si>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</si>
  <si>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</si>
  <si>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</si>
  <si>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</si>
  <si>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</si>
  <si>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</si>
  <si>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</si>
  <si>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</si>
  <si>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</si>
  <si>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</si>
  <si>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</si>
  <si>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</si>
  <si>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</si>
  <si>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</si>
  <si>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</si>
  <si>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</si>
  <si>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</si>
  <si>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</si>
  <si>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</si>
  <si>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</si>
  <si>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</si>
  <si>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</si>
  <si>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</si>
  <si>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</si>
  <si>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</si>
  <si>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</si>
  <si>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</si>
  <si>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</si>
  <si>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</si>
  <si>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</si>
  <si>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</si>
  <si>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</si>
  <si>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</si>
  <si>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</si>
  <si>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</si>
  <si>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</si>
  <si>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</si>
  <si>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</si>
  <si>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</si>
  <si>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</si>
  <si>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</si>
  <si>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</si>
  <si>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</si>
  <si>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</si>
  <si>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</si>
  <si>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</si>
  <si>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</si>
  <si>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</si>
  <si>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</si>
  <si>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</si>
  <si>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</si>
  <si>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</si>
  <si>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</si>
  <si>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</si>
  <si>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</si>
  <si>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</si>
  <si>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</si>
  <si>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</si>
  <si>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</si>
  <si>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</si>
  <si>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</si>
  <si>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</si>
  <si>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</si>
  <si>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</si>
  <si>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</si>
  <si>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</si>
  <si>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</si>
  <si>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</si>
  <si>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</si>
  <si>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</si>
  <si>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</si>
  <si>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</si>
  <si>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</si>
  <si>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</si>
  <si>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</si>
  <si>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</si>
  <si>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</si>
  <si>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</si>
  <si>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</si>
  <si>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</si>
  <si>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</si>
  <si>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</si>
  <si>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</si>
  <si>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</si>
  <si>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</si>
  <si>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</si>
  <si>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</si>
  <si>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</si>
  <si>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</si>
  <si>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</si>
  <si>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</si>
  <si>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</si>
  <si>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</si>
  <si>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</si>
  <si>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</si>
  <si>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</si>
  <si>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</si>
  <si>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</si>
  <si>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</si>
  <si>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</si>
  <si>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</si>
  <si>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</si>
  <si>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</si>
  <si>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</si>
  <si>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</si>
  <si>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</si>
  <si>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</si>
  <si>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</si>
  <si>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</si>
  <si>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Local Sales Tax</t>
  </si>
  <si>
    <t>Franchise Tax</t>
  </si>
  <si>
    <t>Licenses</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</si>
  <si>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</si>
  <si>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</si>
  <si>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</si>
  <si>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</si>
  <si>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</si>
  <si>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</si>
  <si>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</si>
  <si>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</si>
  <si>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</si>
  <si>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</si>
  <si>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</si>
  <si>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</si>
  <si>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</si>
  <si>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</si>
  <si>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</si>
  <si>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</si>
  <si>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</si>
  <si>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</si>
  <si>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</si>
  <si>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</si>
  <si>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</si>
  <si>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</si>
  <si>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</si>
  <si>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</si>
  <si>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</si>
  <si>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</si>
  <si>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</si>
  <si>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</si>
  <si>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</si>
  <si>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</si>
  <si>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</si>
  <si>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</si>
  <si>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</si>
  <si>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</si>
  <si>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</si>
  <si>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</si>
  <si>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</si>
  <si>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</si>
  <si>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 xml:space="preserve">1. Changed all tax levy fund pages Budget Authority for actual year as off by 1 </t>
  </si>
  <si>
    <t>1. Tab levy page 11 cell D69 formatting change reference C71 to D71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</si>
  <si>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</si>
  <si>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</si>
  <si>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</si>
  <si>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</si>
  <si>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</si>
  <si>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</si>
  <si>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</si>
  <si>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</si>
  <si>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</si>
  <si>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</si>
  <si>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</si>
  <si>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</si>
  <si>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</si>
  <si>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</si>
  <si>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</si>
  <si>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</si>
  <si>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</si>
  <si>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</si>
  <si>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</si>
  <si>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</si>
  <si>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</si>
  <si>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</si>
  <si>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</si>
  <si>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</si>
  <si>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</si>
  <si>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</si>
  <si>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</si>
  <si>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</si>
  <si>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</si>
  <si>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</si>
  <si>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</si>
  <si>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</si>
  <si>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</si>
  <si>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</si>
  <si>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</si>
  <si>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</si>
  <si>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</si>
  <si>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</si>
  <si>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</si>
  <si>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</si>
  <si>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</si>
  <si>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</si>
  <si>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</si>
  <si>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</si>
  <si>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</si>
  <si>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</si>
  <si>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</si>
  <si>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</si>
  <si>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</si>
  <si>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</si>
  <si>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</si>
  <si>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</si>
  <si>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</si>
  <si>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</si>
  <si>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</si>
  <si>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</si>
  <si>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</si>
  <si>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</si>
  <si>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</si>
  <si>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</si>
  <si>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</si>
  <si>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</si>
  <si>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</si>
  <si>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</si>
  <si>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</si>
  <si>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</si>
  <si>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</si>
  <si>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</si>
  <si>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</si>
  <si>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</si>
  <si>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</si>
  <si>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</si>
  <si>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</si>
  <si>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</si>
  <si>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</si>
  <si>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</si>
  <si>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</si>
  <si>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</si>
  <si>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</si>
  <si>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</si>
  <si>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</si>
  <si>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</si>
  <si>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</si>
  <si>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</si>
  <si>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</si>
  <si>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</si>
  <si>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</si>
  <si>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</si>
  <si>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</si>
  <si>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</si>
  <si>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</si>
  <si>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</si>
  <si>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</si>
  <si>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</si>
  <si>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</si>
  <si>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</si>
  <si>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</si>
  <si>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</si>
  <si>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</si>
  <si>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</si>
  <si>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</si>
  <si>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</si>
  <si>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</si>
  <si>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</si>
  <si>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</si>
  <si>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</si>
  <si>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</si>
  <si>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</si>
  <si>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</si>
  <si>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</si>
  <si>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</si>
  <si>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</si>
  <si>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</si>
  <si>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</si>
  <si>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</si>
  <si>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</si>
  <si>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</si>
  <si>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</si>
  <si>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</si>
  <si>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</si>
  <si>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</si>
  <si>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</si>
  <si>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</si>
  <si>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</si>
  <si>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</si>
  <si>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</si>
  <si>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</si>
  <si>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</si>
  <si>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</si>
  <si>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</si>
  <si>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</si>
  <si>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</si>
  <si>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</si>
  <si>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</si>
  <si>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</si>
  <si>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</si>
  <si>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</si>
  <si>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</si>
  <si>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</si>
  <si>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</si>
  <si>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</si>
  <si>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</si>
  <si>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</si>
  <si>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</si>
  <si>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</si>
  <si>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</si>
  <si>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</si>
  <si>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</si>
  <si>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</si>
  <si>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</si>
  <si>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</si>
  <si>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</si>
  <si>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</si>
  <si>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</si>
  <si>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</si>
  <si>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</si>
  <si>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</si>
  <si>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</si>
  <si>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</si>
  <si>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</si>
  <si>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</si>
  <si>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</si>
  <si>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</si>
  <si>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#4c for new table on Certificate page</t>
  </si>
  <si>
    <t xml:space="preserve">2. Fund page 9, corrected line E36 for forumla </t>
  </si>
  <si>
    <t>1. Library Grant tab, updated State Library e-mail contact address</t>
  </si>
  <si>
    <t>1. Corrected addition computation in column D, inputPrYr tab</t>
  </si>
  <si>
    <t>1.  Added "ordinance required?  yes/no" message to area adjacent to each tax levy fund</t>
  </si>
  <si>
    <t>1.  Corrected formula in cell e28 of Library Grant tab</t>
  </si>
  <si>
    <t>1.  Instruction tab narrative modification</t>
  </si>
  <si>
    <t>1.  "Budget Authority Amount" cell added to budget year column of all funds.</t>
  </si>
  <si>
    <t>Increase in personal property (5a minus 5b)</t>
  </si>
  <si>
    <t>Real estate</t>
  </si>
  <si>
    <t>State assessed</t>
  </si>
  <si>
    <t>New improvements</t>
  </si>
  <si>
    <t>Total adjustment (sum of 6a, 6b, and 6c)</t>
  </si>
  <si>
    <t>16.</t>
  </si>
  <si>
    <t>17.</t>
  </si>
  <si>
    <t>18.</t>
  </si>
  <si>
    <t>The following changes were made to this workbook on 5/7/14</t>
  </si>
  <si>
    <t>1.  Several changes to workbook associated with 2014 HB 2047.</t>
  </si>
  <si>
    <t>The following changes were made to this workbook on 4/3/14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</si>
  <si>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</si>
  <si>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</si>
  <si>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</si>
  <si>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</si>
  <si>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</si>
  <si>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</si>
  <si>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</si>
  <si>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6/17/11</t>
  </si>
  <si>
    <t>The following changes were made to this workbook on 5/26/11</t>
  </si>
  <si>
    <t>The following changes were made to this workbook on 4/29/11</t>
  </si>
  <si>
    <t>The following changes were made to this workbook on 4/19/11</t>
  </si>
  <si>
    <t>The following changes were made to this workbook on 8/22/10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</si>
  <si>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</si>
  <si>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</si>
  <si>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</si>
  <si>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</si>
  <si>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</si>
  <si>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</si>
  <si>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</si>
  <si>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</si>
  <si>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</si>
  <si>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The following changes were made to this workbook on 7/9/14</t>
  </si>
  <si>
    <t>1.  Correction to formula in cell j44 of the computation tab worksheet.</t>
  </si>
  <si>
    <t>1.  Update of State Library contact name on library grant tab.</t>
  </si>
  <si>
    <t>The following changes were made to this workbook on 8/7/14</t>
  </si>
  <si>
    <t>City1 Budget Workbook Instructions</t>
  </si>
  <si>
    <t>Input Sheet for City1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</si>
  <si>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</si>
  <si>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</si>
  <si>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</si>
  <si>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</si>
  <si>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</si>
  <si>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</si>
  <si>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</si>
  <si>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Commercial Vehicle Tax Estimate</t>
  </si>
  <si>
    <t>Watercraft Tax Estimate</t>
  </si>
  <si>
    <t xml:space="preserve">Ad Valorem Levy </t>
  </si>
  <si>
    <t>County Treas Recreational Vehicle Estimate</t>
  </si>
  <si>
    <t>County Treas 16/20M Vehicle Estimate</t>
  </si>
  <si>
    <t>County Treas Commercial Vehicle Tax Estimate</t>
  </si>
  <si>
    <t>County Treas Watercraft Tax Estimate</t>
  </si>
  <si>
    <t>Commercial Vehicle Factor</t>
  </si>
  <si>
    <t>Watercraft Factor</t>
  </si>
  <si>
    <t>Comm Veh</t>
  </si>
  <si>
    <t>Watercraft</t>
  </si>
  <si>
    <t>Commercial Vehicle Tax</t>
  </si>
  <si>
    <t>Watercraft Tax</t>
  </si>
  <si>
    <t>1.  Various workbook changes associated with commercial vehicle and watercraft tax estimates.</t>
  </si>
  <si>
    <t>The following changes were made to this workbook on 9/23/14</t>
  </si>
  <si>
    <t xml:space="preserve">Allocation of MV, RV, 16/20M, Commercial Vehicle, and Watercraft Tax Estimates </t>
  </si>
  <si>
    <t>The following changes were made to this workbook on 1/21/15</t>
  </si>
  <si>
    <t>2.  Corrected formula in cell d24 of library grant tab.</t>
  </si>
  <si>
    <t>1.  Inserted 2014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</si>
  <si>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</si>
  <si>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</si>
  <si>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</si>
  <si>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</si>
  <si>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</si>
  <si>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8/31/2015</t>
  </si>
  <si>
    <t>6.  On tax levy funds NR estimate shown as a negative receipt</t>
  </si>
  <si>
    <t>The following changes were made to this workbook on 1/27/2016</t>
  </si>
  <si>
    <t>1.  Inserted 2015 CPI percentage on computation tab.</t>
  </si>
  <si>
    <t xml:space="preserve">Please read these instructions carefully.  If after reviewing them you still have questions, call Rico Aguayo at 785.296.6033 or email to armunis@ks.gov </t>
  </si>
  <si>
    <t>The following changes were made to this workbook on 4/7/2017</t>
  </si>
  <si>
    <t xml:space="preserve">2.  Disabled the Computation tab - Counties and Cities will need to use the HB 2088 Template for the 2018 budgets.  </t>
  </si>
  <si>
    <t xml:space="preserve">1.  Update the Instruction tab with Rico's name and telephone number.  Updated ARMUNIS address.  </t>
  </si>
  <si>
    <t xml:space="preserve">CPA Summary </t>
  </si>
  <si>
    <t xml:space="preserve">megan.schulz@ks.gov </t>
  </si>
  <si>
    <t>CPA Summary</t>
  </si>
  <si>
    <t xml:space="preserve">CPI Percentage - 5 Year Average </t>
  </si>
  <si>
    <t xml:space="preserve">CPI Percentage - Preceding Year </t>
  </si>
  <si>
    <t>Does the City Need to Hold and Election?</t>
  </si>
  <si>
    <t>Expiration of Property Tax Abatement</t>
  </si>
  <si>
    <t>Net tax levy</t>
  </si>
  <si>
    <t xml:space="preserve">Expiration of property tax abatements </t>
  </si>
  <si>
    <t>Expiration of TIF, Rural Housing, and NR Districts</t>
  </si>
  <si>
    <t>(Incremental assessed value over base)</t>
  </si>
  <si>
    <t>Total valuation adjustment (sum of 4, 5c, 6d, 7, 8 &amp; 9)</t>
  </si>
  <si>
    <t>Percentage adjustment factor  - Line 10 / (Line 11 - Line 10))</t>
  </si>
  <si>
    <t>Percentage adjustment increase (12 times 3)</t>
  </si>
  <si>
    <t>Consumer Price Index adjustment (Line 3 times Line 14)</t>
  </si>
  <si>
    <t>Total Percentage Adjustments</t>
  </si>
  <si>
    <t>Increase property tax revenues spent on debt service</t>
  </si>
  <si>
    <t>(Obligations must have been incurred prior to July 1, 2016)</t>
  </si>
  <si>
    <t>(Do not include amounts already reported in debt service levy)</t>
  </si>
  <si>
    <t>Property tax revenues spent for public building commission and lease payments in the 2018 budget:</t>
  </si>
  <si>
    <t>Increase property tax revenues spent on public building commission and lease payments</t>
  </si>
  <si>
    <t>19.</t>
  </si>
  <si>
    <t>20.</t>
  </si>
  <si>
    <t>21.</t>
  </si>
  <si>
    <t>Property tax revenues spent on Federal or State mandates (effective after June 30, 2015)</t>
  </si>
  <si>
    <t>22.</t>
  </si>
  <si>
    <t>23.</t>
  </si>
  <si>
    <t xml:space="preserve">CPI adjustment </t>
  </si>
  <si>
    <t>(Do not include building construction or remodeling costs)</t>
  </si>
  <si>
    <t>24.</t>
  </si>
  <si>
    <t>25.</t>
  </si>
  <si>
    <t>26.</t>
  </si>
  <si>
    <t>Total Revenue Adjustments</t>
  </si>
  <si>
    <t>Levies on Behalf of Another Political or Governmental Subdivision</t>
  </si>
  <si>
    <t>27.</t>
  </si>
  <si>
    <t>28.</t>
  </si>
  <si>
    <t xml:space="preserve">Total Levies on Behalf of Another Political or Governmental Subdivision </t>
  </si>
  <si>
    <t>29.</t>
  </si>
  <si>
    <t xml:space="preserve">Total Computed Tax Levy </t>
  </si>
  <si>
    <t>Other Tests - Property Tax Decline</t>
  </si>
  <si>
    <t>Note - In order to use the test, there must be a decline in tax revenues in at least one of the years listed below.</t>
  </si>
  <si>
    <t>Average Tax Levy (last three years)</t>
  </si>
  <si>
    <t>Average Tax Levy Adjusted by CPI</t>
  </si>
  <si>
    <t>Exemption from Election Requirement</t>
  </si>
  <si>
    <t>"</t>
  </si>
  <si>
    <t xml:space="preserve">Other Tests - Lost Valuation Test </t>
  </si>
  <si>
    <t>Assessed Valuation Loss</t>
  </si>
  <si>
    <t xml:space="preserve">Change in Levy </t>
  </si>
  <si>
    <t xml:space="preserve">CPI Adjustment </t>
  </si>
  <si>
    <t xml:space="preserve">Total Adjustment for Loss of Assessed Valuation </t>
  </si>
  <si>
    <t>Exemption from Election Requirment</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</si>
  <si>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</si>
  <si>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</si>
  <si>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</si>
  <si>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</si>
  <si>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</si>
  <si>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</si>
  <si>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</si>
  <si>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</si>
  <si>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</si>
  <si>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Tax Lid Limit (from Computation Tab)</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</si>
</sst>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 numFmtId="200" formatCode="0.0000"/>
  </numFmts>
  <fonts count="98">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indexed="41"/>
        <bgColor indexed="64"/>
      </patternFill>
    </fill>
    <fill>
      <patternFill patternType="solid">
        <fgColor rgb="FF92D0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s>
  <cellStyleXfs count="5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095">
    <xf numFmtId="0" fontId="0" fillId="0" borderId="0" xfId="0" applyAlignment="1">
      <alignment/>
    </xf>
    <xf numFmtId="0" fontId="5" fillId="0" borderId="0" xfId="0" applyFont="1" applyAlignment="1">
      <alignmen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3"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5"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1" xfId="0" applyFont="1" applyFill="1" applyBorder="1" applyAlignment="1" applyProtection="1">
      <alignment horizontal="center" vertical="center"/>
      <protection locked="0"/>
    </xf>
    <xf numFmtId="0" fontId="6" fillId="35" borderId="11"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2" xfId="0" applyFont="1" applyFill="1" applyBorder="1" applyAlignment="1" applyProtection="1">
      <alignment horizontal="center" vertical="center"/>
      <protection locked="0"/>
    </xf>
    <xf numFmtId="37" fontId="5" fillId="35" borderId="12" xfId="0" applyNumberFormat="1" applyFont="1" applyFill="1" applyBorder="1" applyAlignment="1" applyProtection="1">
      <alignment horizontal="center" vertical="center" wrapText="1"/>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0" xfId="0" applyFont="1" applyFill="1" applyBorder="1" applyAlignment="1" applyProtection="1">
      <alignment vertical="center"/>
      <protection locked="0"/>
    </xf>
    <xf numFmtId="37" fontId="5" fillId="34" borderId="13" xfId="0" applyNumberFormat="1" applyFont="1" applyFill="1" applyBorder="1" applyAlignment="1" applyProtection="1">
      <alignment horizontal="left" vertical="center"/>
      <protection/>
    </xf>
    <xf numFmtId="0" fontId="5" fillId="34" borderId="13" xfId="0"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4" borderId="10" xfId="0" applyNumberFormat="1" applyFont="1" applyFill="1" applyBorder="1" applyAlignment="1" applyProtection="1">
      <alignment vertical="center"/>
      <protection/>
    </xf>
    <xf numFmtId="0" fontId="5" fillId="34" borderId="12" xfId="0" applyFont="1" applyFill="1" applyBorder="1" applyAlignment="1" applyProtection="1">
      <alignment vertical="center"/>
      <protection/>
    </xf>
    <xf numFmtId="178" fontId="5" fillId="33" borderId="10" xfId="0" applyNumberFormat="1" applyFont="1" applyFill="1" applyBorder="1" applyAlignment="1" applyProtection="1">
      <alignment vertical="center"/>
      <protection locked="0"/>
    </xf>
    <xf numFmtId="178" fontId="5" fillId="38" borderId="10" xfId="0" applyNumberFormat="1"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4"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3"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4"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4"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3" fillId="34" borderId="0" xfId="0"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0" fontId="0" fillId="34" borderId="16" xfId="0" applyFill="1" applyBorder="1" applyAlignment="1" applyProtection="1">
      <alignment vertical="center"/>
      <protection/>
    </xf>
    <xf numFmtId="0" fontId="0" fillId="34" borderId="13" xfId="0"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5" fillId="34" borderId="13" xfId="0" applyFont="1" applyFill="1" applyBorder="1" applyAlignment="1">
      <alignment vertical="center"/>
    </xf>
    <xf numFmtId="0" fontId="0" fillId="34" borderId="13" xfId="0" applyFill="1" applyBorder="1" applyAlignment="1">
      <alignment vertical="center"/>
    </xf>
    <xf numFmtId="0" fontId="0" fillId="34" borderId="16" xfId="0" applyFill="1" applyBorder="1" applyAlignment="1">
      <alignment vertical="center"/>
    </xf>
    <xf numFmtId="0" fontId="5" fillId="34" borderId="14" xfId="0" applyFont="1" applyFill="1" applyBorder="1" applyAlignment="1">
      <alignment vertical="center"/>
    </xf>
    <xf numFmtId="0" fontId="0" fillId="34" borderId="14"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4"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3" xfId="0" applyNumberFormat="1" applyFont="1" applyFill="1" applyBorder="1" applyAlignment="1" applyProtection="1">
      <alignment horizontal="fill" vertical="center"/>
      <protection/>
    </xf>
    <xf numFmtId="37" fontId="5" fillId="34" borderId="11" xfId="0" applyNumberFormat="1" applyFont="1" applyFill="1" applyBorder="1" applyAlignment="1" applyProtection="1">
      <alignment horizontal="left" vertical="center"/>
      <protection/>
    </xf>
    <xf numFmtId="37" fontId="5" fillId="34" borderId="11"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1"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3" fillId="34" borderId="19" xfId="0" applyNumberFormat="1" applyFont="1" applyFill="1" applyBorder="1" applyAlignment="1" applyProtection="1">
      <alignment horizontal="left" vertical="center"/>
      <protection/>
    </xf>
    <xf numFmtId="37" fontId="13" fillId="34" borderId="17"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37" fontId="5" fillId="38" borderId="10"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0" fontId="5" fillId="39" borderId="10" xfId="0" applyFont="1" applyFill="1" applyBorder="1" applyAlignment="1" applyProtection="1">
      <alignment vertical="center"/>
      <protection/>
    </xf>
    <xf numFmtId="37" fontId="5" fillId="39" borderId="10"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3"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0" fontId="5" fillId="34" borderId="0" xfId="0" applyFont="1" applyFill="1" applyBorder="1" applyAlignment="1" applyProtection="1" quotePrefix="1">
      <alignment vertical="center"/>
      <protection/>
    </xf>
    <xf numFmtId="0" fontId="5" fillId="34" borderId="13"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1" xfId="0"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3"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3"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586" applyFont="1" applyFill="1" applyAlignment="1" applyProtection="1">
      <alignment horizontal="centerContinuous" vertical="center"/>
      <protection/>
    </xf>
    <xf numFmtId="0" fontId="5" fillId="34" borderId="13" xfId="0" applyFont="1" applyFill="1" applyBorder="1" applyAlignment="1" applyProtection="1">
      <alignment horizontal="fill" vertical="center"/>
      <protection/>
    </xf>
    <xf numFmtId="0" fontId="5" fillId="34" borderId="22"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8"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8"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2" xfId="0" applyFont="1" applyFill="1" applyBorder="1" applyAlignment="1" applyProtection="1">
      <alignment horizontal="center" vertical="center"/>
      <protection/>
    </xf>
    <xf numFmtId="14" fontId="5" fillId="34" borderId="12" xfId="0" applyNumberFormat="1" applyFont="1" applyFill="1" applyBorder="1" applyAlignment="1" applyProtection="1" quotePrefix="1">
      <alignment horizontal="center" vertical="center"/>
      <protection/>
    </xf>
    <xf numFmtId="0" fontId="5" fillId="33" borderId="10" xfId="0" applyFont="1" applyFill="1" applyBorder="1" applyAlignment="1" applyProtection="1">
      <alignment horizontal="center" vertical="center"/>
      <protection locked="0"/>
    </xf>
    <xf numFmtId="1" fontId="5" fillId="33" borderId="10"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8" borderId="24" xfId="0" applyNumberFormat="1" applyFont="1" applyFill="1" applyBorder="1" applyAlignment="1" applyProtection="1">
      <alignment horizontal="center" vertical="center"/>
      <protection/>
    </xf>
    <xf numFmtId="0" fontId="5" fillId="36" borderId="0" xfId="585"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2"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7" fillId="39"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8" borderId="10"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8" borderId="19" xfId="0" applyFont="1" applyFill="1" applyBorder="1" applyAlignment="1" applyProtection="1">
      <alignment horizontal="left" vertical="center"/>
      <protection/>
    </xf>
    <xf numFmtId="0" fontId="5" fillId="38"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8"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1"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9" borderId="24"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 fontId="5" fillId="34" borderId="10" xfId="0" applyNumberFormat="1" applyFont="1" applyFill="1" applyBorder="1" applyAlignment="1" applyProtection="1">
      <alignment horizontal="fill" vertical="center"/>
      <protection/>
    </xf>
    <xf numFmtId="3" fontId="17" fillId="39" borderId="17" xfId="0" applyNumberFormat="1" applyFont="1" applyFill="1" applyBorder="1" applyAlignment="1" applyProtection="1">
      <alignment horizontal="center" vertical="center"/>
      <protection/>
    </xf>
    <xf numFmtId="3" fontId="5" fillId="39"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0" xfId="0" applyNumberFormat="1" applyFont="1" applyFill="1" applyBorder="1" applyAlignment="1" applyProtection="1">
      <alignment vertical="center"/>
      <protection/>
    </xf>
    <xf numFmtId="3" fontId="5" fillId="39" borderId="24"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3" xfId="0" applyNumberFormat="1" applyFont="1" applyFill="1" applyBorder="1" applyAlignment="1" applyProtection="1">
      <alignment horizontal="fill" vertical="center"/>
      <protection/>
    </xf>
    <xf numFmtId="166" fontId="5" fillId="34" borderId="13" xfId="0" applyNumberFormat="1" applyFont="1" applyFill="1" applyBorder="1" applyAlignment="1" applyProtection="1">
      <alignment vertical="center"/>
      <protection/>
    </xf>
    <xf numFmtId="37" fontId="5" fillId="34" borderId="13"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1" fillId="34" borderId="0" xfId="0" applyFont="1" applyFill="1" applyAlignment="1">
      <alignment horizontal="center" vertical="center"/>
    </xf>
    <xf numFmtId="0" fontId="5" fillId="34" borderId="17" xfId="0" applyFont="1" applyFill="1" applyBorder="1" applyAlignment="1">
      <alignment vertical="center"/>
    </xf>
    <xf numFmtId="0" fontId="14" fillId="34" borderId="11" xfId="0" applyFont="1" applyFill="1" applyBorder="1" applyAlignment="1">
      <alignment vertical="center"/>
    </xf>
    <xf numFmtId="0" fontId="14" fillId="34" borderId="17" xfId="0" applyFont="1" applyFill="1" applyBorder="1" applyAlignment="1">
      <alignment horizontal="center" vertical="center"/>
    </xf>
    <xf numFmtId="0" fontId="14" fillId="34" borderId="23" xfId="0" applyFont="1" applyFill="1" applyBorder="1" applyAlignment="1">
      <alignment vertical="center"/>
    </xf>
    <xf numFmtId="0" fontId="14" fillId="34" borderId="1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0" xfId="0" applyFont="1" applyFill="1" applyBorder="1" applyAlignment="1">
      <alignment horizontal="center" vertical="center"/>
    </xf>
    <xf numFmtId="0" fontId="14" fillId="34" borderId="21" xfId="0" applyFont="1" applyFill="1" applyBorder="1" applyAlignment="1">
      <alignment vertical="center"/>
    </xf>
    <xf numFmtId="3" fontId="14" fillId="33" borderId="10" xfId="0" applyNumberFormat="1" applyFont="1" applyFill="1" applyBorder="1" applyAlignment="1" applyProtection="1">
      <alignment horizontal="center" vertical="center"/>
      <protection locked="0"/>
    </xf>
    <xf numFmtId="0" fontId="14" fillId="34" borderId="13" xfId="0" applyFont="1" applyFill="1" applyBorder="1" applyAlignment="1">
      <alignment vertical="center"/>
    </xf>
    <xf numFmtId="3" fontId="14" fillId="38" borderId="10" xfId="0" applyNumberFormat="1" applyFont="1" applyFill="1" applyBorder="1" applyAlignment="1">
      <alignment horizontal="center" vertical="center"/>
    </xf>
    <xf numFmtId="0" fontId="14" fillId="34" borderId="0" xfId="0" applyFont="1" applyFill="1" applyAlignment="1">
      <alignment vertical="center"/>
    </xf>
    <xf numFmtId="3" fontId="14" fillId="34" borderId="0" xfId="0" applyNumberFormat="1" applyFont="1" applyFill="1" applyAlignment="1">
      <alignment horizontal="center" vertical="center"/>
    </xf>
    <xf numFmtId="0" fontId="14" fillId="34" borderId="0" xfId="0" applyFont="1" applyFill="1" applyAlignment="1">
      <alignment horizontal="center" vertical="center"/>
    </xf>
    <xf numFmtId="0" fontId="14" fillId="33" borderId="10" xfId="0" applyFont="1" applyFill="1" applyBorder="1" applyAlignment="1" applyProtection="1">
      <alignment vertical="center"/>
      <protection locked="0"/>
    </xf>
    <xf numFmtId="0" fontId="14" fillId="33" borderId="23" xfId="0" applyFont="1" applyFill="1" applyBorder="1" applyAlignment="1" applyProtection="1">
      <alignment vertical="center"/>
      <protection locked="0"/>
    </xf>
    <xf numFmtId="3" fontId="14" fillId="33" borderId="23" xfId="0" applyNumberFormat="1" applyFont="1" applyFill="1" applyBorder="1" applyAlignment="1" applyProtection="1">
      <alignment horizontal="center" vertical="center"/>
      <protection locked="0"/>
    </xf>
    <xf numFmtId="0" fontId="14" fillId="33" borderId="0" xfId="0" applyFont="1" applyFill="1" applyAlignment="1" applyProtection="1">
      <alignment vertical="center"/>
      <protection locked="0"/>
    </xf>
    <xf numFmtId="3" fontId="14" fillId="33" borderId="16" xfId="0" applyNumberFormat="1" applyFont="1" applyFill="1" applyBorder="1" applyAlignment="1" applyProtection="1">
      <alignment horizontal="center" vertical="center"/>
      <protection locked="0"/>
    </xf>
    <xf numFmtId="3" fontId="14" fillId="33" borderId="17" xfId="0" applyNumberFormat="1" applyFont="1" applyFill="1" applyBorder="1" applyAlignment="1" applyProtection="1">
      <alignment horizontal="center" vertical="center"/>
      <protection locked="0"/>
    </xf>
    <xf numFmtId="0" fontId="14" fillId="33" borderId="17" xfId="0" applyFont="1" applyFill="1" applyBorder="1" applyAlignment="1" applyProtection="1">
      <alignment vertical="center"/>
      <protection locked="0"/>
    </xf>
    <xf numFmtId="0" fontId="14" fillId="33" borderId="12" xfId="0" applyFont="1" applyFill="1" applyBorder="1" applyAlignment="1" applyProtection="1">
      <alignment vertical="center"/>
      <protection locked="0"/>
    </xf>
    <xf numFmtId="3" fontId="14" fillId="33" borderId="25" xfId="0" applyNumberFormat="1" applyFont="1" applyFill="1" applyBorder="1" applyAlignment="1" applyProtection="1">
      <alignment horizontal="center" vertical="center"/>
      <protection locked="0"/>
    </xf>
    <xf numFmtId="0" fontId="14" fillId="33" borderId="25" xfId="0" applyFont="1" applyFill="1" applyBorder="1" applyAlignment="1" applyProtection="1">
      <alignment vertical="center"/>
      <protection locked="0"/>
    </xf>
    <xf numFmtId="0" fontId="14" fillId="38" borderId="10" xfId="0" applyFont="1" applyFill="1" applyBorder="1" applyAlignment="1">
      <alignment horizontal="center" vertical="center"/>
    </xf>
    <xf numFmtId="0" fontId="14" fillId="38" borderId="12" xfId="0" applyFont="1" applyFill="1" applyBorder="1" applyAlignment="1">
      <alignment horizontal="center" vertical="center"/>
    </xf>
    <xf numFmtId="3" fontId="14" fillId="33" borderId="12" xfId="0" applyNumberFormat="1" applyFont="1" applyFill="1" applyBorder="1" applyAlignment="1" applyProtection="1">
      <alignment horizontal="center" vertical="center"/>
      <protection locked="0"/>
    </xf>
    <xf numFmtId="3" fontId="14" fillId="33" borderId="20" xfId="0" applyNumberFormat="1" applyFont="1" applyFill="1" applyBorder="1" applyAlignment="1" applyProtection="1">
      <alignment horizontal="center" vertical="center"/>
      <protection locked="0"/>
    </xf>
    <xf numFmtId="3" fontId="19" fillId="39" borderId="10" xfId="0" applyNumberFormat="1" applyFont="1" applyFill="1" applyBorder="1" applyAlignment="1">
      <alignment horizontal="center" vertical="center"/>
    </xf>
    <xf numFmtId="0" fontId="17"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2"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3" xfId="0" applyNumberFormat="1"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2" fontId="5" fillId="34" borderId="10" xfId="0" applyNumberFormat="1" applyFont="1" applyFill="1" applyBorder="1" applyAlignment="1" applyProtection="1">
      <alignment horizontal="center" vertical="center"/>
      <protection/>
    </xf>
    <xf numFmtId="3" fontId="5" fillId="33" borderId="11" xfId="0" applyNumberFormat="1" applyFont="1" applyFill="1" applyBorder="1" applyAlignment="1" applyProtection="1">
      <alignment horizontal="center" vertical="center"/>
      <protection locked="0"/>
    </xf>
    <xf numFmtId="3" fontId="5" fillId="34" borderId="24" xfId="0" applyNumberFormat="1" applyFont="1" applyFill="1" applyBorder="1" applyAlignment="1" applyProtection="1">
      <alignment horizontal="center" vertical="center"/>
      <protection/>
    </xf>
    <xf numFmtId="182" fontId="5" fillId="34" borderId="24" xfId="0" applyNumberFormat="1" applyFont="1" applyFill="1" applyBorder="1" applyAlignment="1" applyProtection="1">
      <alignment horizontal="center" vertical="center"/>
      <protection/>
    </xf>
    <xf numFmtId="182" fontId="5" fillId="34" borderId="13"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3" xfId="0" applyNumberFormat="1" applyFont="1" applyFill="1" applyBorder="1" applyAlignment="1">
      <alignment horizontal="center" vertical="center"/>
    </xf>
    <xf numFmtId="0" fontId="0" fillId="34" borderId="0" xfId="0" applyFill="1" applyAlignment="1">
      <alignment horizontal="center" vertical="center"/>
    </xf>
    <xf numFmtId="0" fontId="5" fillId="34" borderId="13"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8" fillId="39" borderId="0" xfId="0" applyNumberFormat="1" applyFont="1" applyFill="1" applyAlignment="1">
      <alignment horizontal="center" vertical="center"/>
    </xf>
    <xf numFmtId="0" fontId="2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249" applyFont="1" applyAlignment="1">
      <alignment vertical="center" wrapText="1"/>
      <protection/>
    </xf>
    <xf numFmtId="0" fontId="5" fillId="0" borderId="0" xfId="92" applyFont="1" applyAlignment="1">
      <alignment vertical="center"/>
      <protection/>
    </xf>
    <xf numFmtId="0" fontId="5" fillId="0" borderId="0" xfId="544" applyFont="1" applyAlignment="1">
      <alignment vertical="center"/>
      <protection/>
    </xf>
    <xf numFmtId="0" fontId="5" fillId="33" borderId="13" xfId="0" applyFont="1" applyFill="1" applyBorder="1" applyAlignment="1" applyProtection="1">
      <alignment vertical="center"/>
      <protection locked="0"/>
    </xf>
    <xf numFmtId="0" fontId="5" fillId="33" borderId="14" xfId="0" applyFont="1" applyFill="1" applyBorder="1" applyAlignment="1" applyProtection="1">
      <alignment vertical="center"/>
      <protection locked="0"/>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50" applyFont="1">
      <alignment/>
      <protection/>
    </xf>
    <xf numFmtId="0" fontId="0" fillId="0" borderId="0" xfId="25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60" applyFont="1" applyAlignment="1">
      <alignment vertical="center"/>
      <protection/>
    </xf>
    <xf numFmtId="0" fontId="5" fillId="0" borderId="0" xfId="175" applyFont="1" applyAlignment="1">
      <alignment vertical="center" wrapText="1"/>
      <protection/>
    </xf>
    <xf numFmtId="0" fontId="6" fillId="0" borderId="0" xfId="165" applyFont="1" applyAlignment="1">
      <alignment vertical="center"/>
      <protection/>
    </xf>
    <xf numFmtId="0" fontId="5" fillId="34" borderId="0" xfId="0" applyFont="1" applyFill="1" applyAlignment="1">
      <alignment/>
    </xf>
    <xf numFmtId="0" fontId="84"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7" fillId="39" borderId="19" xfId="0" applyNumberFormat="1" applyFont="1" applyFill="1" applyBorder="1" applyAlignment="1" applyProtection="1">
      <alignment horizontal="center" vertical="center"/>
      <protection/>
    </xf>
    <xf numFmtId="14" fontId="5" fillId="33" borderId="10"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7" fillId="39"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0" borderId="24" xfId="0" applyNumberFormat="1" applyFont="1" applyFill="1" applyBorder="1" applyAlignment="1" applyProtection="1">
      <alignment vertical="center"/>
      <protection/>
    </xf>
    <xf numFmtId="37" fontId="17" fillId="39" borderId="10"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128" applyFont="1" applyFill="1" applyAlignment="1" applyProtection="1">
      <alignment horizontal="right" vertical="center"/>
      <protection/>
    </xf>
    <xf numFmtId="0" fontId="5" fillId="34" borderId="0" xfId="71"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7" fillId="40"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7" fillId="40"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8" borderId="19" xfId="0" applyNumberFormat="1" applyFont="1" applyFill="1" applyBorder="1" applyAlignment="1" applyProtection="1">
      <alignment vertical="center"/>
      <protection/>
    </xf>
    <xf numFmtId="3" fontId="5" fillId="38" borderId="19"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39" borderId="10" xfId="0" applyNumberFormat="1" applyFont="1" applyFill="1" applyBorder="1" applyAlignment="1" applyProtection="1">
      <alignment horizontal="center" vertical="center"/>
      <protection/>
    </xf>
    <xf numFmtId="3" fontId="17" fillId="40" borderId="10"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0" fontId="85"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1" borderId="0" xfId="0" applyFont="1" applyFill="1" applyAlignment="1" applyProtection="1">
      <alignment vertical="center" shrinkToFit="1"/>
      <protection/>
    </xf>
    <xf numFmtId="0" fontId="0" fillId="41" borderId="0" xfId="0" applyFill="1" applyBorder="1" applyAlignment="1" applyProtection="1">
      <alignment vertical="center"/>
      <protection/>
    </xf>
    <xf numFmtId="0" fontId="17" fillId="41" borderId="0" xfId="0" applyFont="1" applyFill="1" applyBorder="1" applyAlignment="1" applyProtection="1">
      <alignment horizontal="center" vertical="center"/>
      <protection/>
    </xf>
    <xf numFmtId="37" fontId="5" fillId="41" borderId="0" xfId="0" applyNumberFormat="1" applyFont="1" applyFill="1" applyBorder="1" applyAlignment="1" applyProtection="1">
      <alignment horizontal="left" vertical="center"/>
      <protection/>
    </xf>
    <xf numFmtId="0" fontId="5" fillId="41" borderId="0" xfId="0" applyFont="1" applyFill="1" applyBorder="1" applyAlignment="1" applyProtection="1">
      <alignment vertical="center"/>
      <protection/>
    </xf>
    <xf numFmtId="37" fontId="5" fillId="41" borderId="0" xfId="0" applyNumberFormat="1" applyFont="1" applyFill="1" applyBorder="1" applyAlignment="1" applyProtection="1">
      <alignment vertical="center"/>
      <protection/>
    </xf>
    <xf numFmtId="3" fontId="5" fillId="42" borderId="10" xfId="0" applyNumberFormat="1" applyFont="1" applyFill="1" applyBorder="1" applyAlignment="1" applyProtection="1">
      <alignment vertical="center"/>
      <protection/>
    </xf>
    <xf numFmtId="3" fontId="5" fillId="42" borderId="24" xfId="0" applyNumberFormat="1"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 fontId="14" fillId="38" borderId="12" xfId="0" applyNumberFormat="1" applyFont="1" applyFill="1" applyBorder="1" applyAlignment="1">
      <alignment horizontal="center" vertical="center"/>
    </xf>
    <xf numFmtId="164" fontId="5" fillId="42" borderId="10" xfId="0" applyNumberFormat="1" applyFont="1" applyFill="1" applyBorder="1" applyAlignment="1" applyProtection="1">
      <alignment vertical="center"/>
      <protection/>
    </xf>
    <xf numFmtId="49" fontId="5" fillId="33" borderId="10" xfId="0" applyNumberFormat="1" applyFont="1" applyFill="1" applyBorder="1" applyAlignment="1" applyProtection="1">
      <alignment vertical="center"/>
      <protection locked="0"/>
    </xf>
    <xf numFmtId="49" fontId="5" fillId="33" borderId="10" xfId="0" applyNumberFormat="1" applyFont="1" applyFill="1" applyBorder="1" applyAlignment="1" applyProtection="1">
      <alignment vertical="center"/>
      <protection locked="0"/>
    </xf>
    <xf numFmtId="0" fontId="35" fillId="0" borderId="0" xfId="0" applyFont="1" applyAlignment="1" applyProtection="1">
      <alignment vertical="center"/>
      <protection/>
    </xf>
    <xf numFmtId="0" fontId="0" fillId="41" borderId="0" xfId="0" applyFill="1" applyAlignment="1" applyProtection="1">
      <alignment vertical="center"/>
      <protection locked="0"/>
    </xf>
    <xf numFmtId="0" fontId="5" fillId="0" borderId="0" xfId="123" applyFont="1">
      <alignment/>
      <protection/>
    </xf>
    <xf numFmtId="37" fontId="5" fillId="34" borderId="11" xfId="123" applyNumberFormat="1" applyFont="1" applyFill="1" applyBorder="1" applyAlignment="1" applyProtection="1">
      <alignment horizontal="center"/>
      <protection/>
    </xf>
    <xf numFmtId="37" fontId="5" fillId="34" borderId="12" xfId="123" applyNumberFormat="1" applyFont="1" applyFill="1" applyBorder="1" applyAlignment="1" applyProtection="1">
      <alignment horizontal="center"/>
      <protection/>
    </xf>
    <xf numFmtId="0" fontId="5" fillId="41" borderId="0" xfId="123" applyFont="1" applyFill="1" applyBorder="1" applyAlignment="1" applyProtection="1">
      <alignment vertical="center"/>
      <protection locked="0"/>
    </xf>
    <xf numFmtId="0" fontId="32" fillId="41" borderId="0" xfId="123" applyFont="1" applyFill="1" applyBorder="1" applyAlignment="1" applyProtection="1">
      <alignment vertical="center"/>
      <protection locked="0"/>
    </xf>
    <xf numFmtId="194" fontId="32" fillId="43" borderId="10" xfId="123" applyNumberFormat="1" applyFont="1" applyFill="1" applyBorder="1" applyAlignment="1" applyProtection="1">
      <alignment horizontal="center" vertical="center"/>
      <protection locked="0"/>
    </xf>
    <xf numFmtId="0" fontId="5" fillId="41" borderId="25" xfId="123" applyFont="1" applyFill="1" applyBorder="1" applyAlignment="1" applyProtection="1">
      <alignment vertical="center"/>
      <protection/>
    </xf>
    <xf numFmtId="194" fontId="32" fillId="41" borderId="15" xfId="123" applyNumberFormat="1" applyFont="1" applyFill="1" applyBorder="1" applyAlignment="1" applyProtection="1">
      <alignment horizontal="center" vertical="center"/>
      <protection/>
    </xf>
    <xf numFmtId="0" fontId="32" fillId="41" borderId="0" xfId="123" applyFont="1" applyFill="1" applyBorder="1" applyAlignment="1" applyProtection="1">
      <alignment horizontal="left" vertical="center"/>
      <protection/>
    </xf>
    <xf numFmtId="0" fontId="32" fillId="41" borderId="25" xfId="123" applyFont="1" applyFill="1" applyBorder="1" applyAlignment="1" applyProtection="1">
      <alignment vertical="center"/>
      <protection/>
    </xf>
    <xf numFmtId="0" fontId="32" fillId="41" borderId="0" xfId="123" applyFont="1" applyFill="1" applyBorder="1" applyAlignment="1" applyProtection="1">
      <alignment vertical="center"/>
      <protection/>
    </xf>
    <xf numFmtId="194" fontId="32" fillId="41" borderId="21" xfId="123" applyNumberFormat="1" applyFont="1" applyFill="1" applyBorder="1" applyAlignment="1" applyProtection="1">
      <alignment horizontal="center" vertical="center"/>
      <protection/>
    </xf>
    <xf numFmtId="194" fontId="32" fillId="41" borderId="15" xfId="123" applyNumberFormat="1" applyFont="1" applyFill="1" applyBorder="1" applyAlignment="1" applyProtection="1">
      <alignment vertical="center"/>
      <protection/>
    </xf>
    <xf numFmtId="0" fontId="34" fillId="44" borderId="13" xfId="123" applyFont="1" applyFill="1" applyBorder="1" applyAlignment="1" applyProtection="1">
      <alignment vertical="center"/>
      <protection/>
    </xf>
    <xf numFmtId="0" fontId="32" fillId="44" borderId="16" xfId="123" applyFont="1" applyFill="1" applyBorder="1" applyAlignment="1" applyProtection="1">
      <alignment vertical="center"/>
      <protection/>
    </xf>
    <xf numFmtId="0" fontId="5" fillId="44" borderId="16" xfId="123" applyFont="1" applyFill="1" applyBorder="1" applyAlignment="1" applyProtection="1">
      <alignment vertical="center"/>
      <protection/>
    </xf>
    <xf numFmtId="0" fontId="32" fillId="41" borderId="15" xfId="123" applyFont="1" applyFill="1" applyBorder="1" applyAlignment="1" applyProtection="1">
      <alignment horizontal="left" vertical="center"/>
      <protection/>
    </xf>
    <xf numFmtId="194" fontId="34" fillId="44" borderId="21" xfId="123" applyNumberFormat="1" applyFont="1" applyFill="1" applyBorder="1" applyAlignment="1" applyProtection="1">
      <alignment horizontal="center" vertical="center"/>
      <protection/>
    </xf>
    <xf numFmtId="178" fontId="5" fillId="42" borderId="10" xfId="0" applyNumberFormat="1" applyFont="1" applyFill="1" applyBorder="1" applyAlignment="1" applyProtection="1">
      <alignment vertical="center"/>
      <protection/>
    </xf>
    <xf numFmtId="0" fontId="6" fillId="0" borderId="0" xfId="166" applyFont="1" applyAlignment="1">
      <alignment vertical="center"/>
      <protection/>
    </xf>
    <xf numFmtId="0" fontId="5" fillId="0" borderId="0" xfId="128" applyFont="1" applyAlignment="1">
      <alignment vertical="center" wrapText="1"/>
      <protection/>
    </xf>
    <xf numFmtId="0" fontId="5" fillId="0" borderId="0" xfId="128" applyFont="1" applyAlignment="1">
      <alignment vertical="center"/>
      <protection/>
    </xf>
    <xf numFmtId="3" fontId="5" fillId="39" borderId="19"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194" fontId="14" fillId="44" borderId="21" xfId="123" applyNumberFormat="1" applyFont="1" applyFill="1" applyBorder="1" applyAlignment="1" applyProtection="1">
      <alignment horizontal="center" vertical="center"/>
      <protection/>
    </xf>
    <xf numFmtId="0" fontId="14" fillId="44" borderId="13" xfId="123" applyFont="1" applyFill="1" applyBorder="1" applyAlignment="1" applyProtection="1">
      <alignment vertical="center"/>
      <protection/>
    </xf>
    <xf numFmtId="0" fontId="38" fillId="45" borderId="0" xfId="0" applyFont="1" applyFill="1" applyAlignment="1">
      <alignment/>
    </xf>
    <xf numFmtId="0" fontId="38" fillId="41" borderId="0" xfId="0" applyFont="1" applyFill="1" applyAlignment="1">
      <alignment/>
    </xf>
    <xf numFmtId="0" fontId="86" fillId="45" borderId="0" xfId="0" applyFont="1" applyFill="1" applyAlignment="1">
      <alignment horizontal="center" wrapText="1"/>
    </xf>
    <xf numFmtId="0" fontId="86" fillId="41" borderId="0" xfId="0" applyFont="1" applyFill="1" applyAlignment="1">
      <alignment/>
    </xf>
    <xf numFmtId="0" fontId="38" fillId="41" borderId="0" xfId="0" applyFont="1" applyFill="1" applyAlignment="1">
      <alignment horizontal="center"/>
    </xf>
    <xf numFmtId="0" fontId="86" fillId="41" borderId="26" xfId="0" applyFont="1" applyFill="1" applyBorder="1" applyAlignment="1">
      <alignment/>
    </xf>
    <xf numFmtId="0" fontId="38" fillId="41" borderId="27" xfId="0" applyFont="1" applyFill="1" applyBorder="1" applyAlignment="1">
      <alignment/>
    </xf>
    <xf numFmtId="0" fontId="38" fillId="41" borderId="28" xfId="0" applyFont="1" applyFill="1" applyBorder="1" applyAlignment="1">
      <alignment/>
    </xf>
    <xf numFmtId="194" fontId="38" fillId="41" borderId="29" xfId="0" applyNumberFormat="1" applyFont="1" applyFill="1" applyBorder="1" applyAlignment="1">
      <alignment/>
    </xf>
    <xf numFmtId="0" fontId="38" fillId="41" borderId="0" xfId="0" applyFont="1" applyFill="1" applyBorder="1" applyAlignment="1">
      <alignment/>
    </xf>
    <xf numFmtId="0" fontId="38" fillId="41" borderId="30" xfId="0" applyFont="1" applyFill="1" applyBorder="1" applyAlignment="1">
      <alignment/>
    </xf>
    <xf numFmtId="0" fontId="38" fillId="41" borderId="31" xfId="0" applyFont="1" applyFill="1" applyBorder="1" applyAlignment="1">
      <alignment/>
    </xf>
    <xf numFmtId="0" fontId="38" fillId="41" borderId="32" xfId="0" applyFont="1" applyFill="1" applyBorder="1" applyAlignment="1">
      <alignment/>
    </xf>
    <xf numFmtId="0" fontId="38" fillId="41" borderId="33" xfId="0" applyFont="1" applyFill="1" applyBorder="1" applyAlignment="1">
      <alignment/>
    </xf>
    <xf numFmtId="0" fontId="38" fillId="41" borderId="26" xfId="0" applyFont="1" applyFill="1" applyBorder="1" applyAlignment="1">
      <alignment/>
    </xf>
    <xf numFmtId="0" fontId="38" fillId="41" borderId="34" xfId="0" applyFont="1" applyFill="1" applyBorder="1" applyAlignment="1">
      <alignment/>
    </xf>
    <xf numFmtId="194" fontId="38" fillId="43" borderId="29" xfId="0" applyNumberFormat="1" applyFont="1" applyFill="1" applyBorder="1" applyAlignment="1" applyProtection="1">
      <alignment horizontal="center"/>
      <protection locked="0"/>
    </xf>
    <xf numFmtId="182" fontId="38" fillId="41" borderId="0" xfId="0" applyNumberFormat="1" applyFont="1" applyFill="1" applyBorder="1" applyAlignment="1">
      <alignment horizontal="center"/>
    </xf>
    <xf numFmtId="0" fontId="87" fillId="0" borderId="0" xfId="0" applyFont="1" applyBorder="1" applyAlignment="1">
      <alignment/>
    </xf>
    <xf numFmtId="0" fontId="38" fillId="0" borderId="0" xfId="0" applyFont="1" applyBorder="1" applyAlignment="1">
      <alignment/>
    </xf>
    <xf numFmtId="0" fontId="86" fillId="0" borderId="0" xfId="0" applyFont="1" applyBorder="1" applyAlignment="1">
      <alignment horizontal="centerContinuous"/>
    </xf>
    <xf numFmtId="0" fontId="38" fillId="0" borderId="0" xfId="0" applyFont="1" applyBorder="1" applyAlignment="1">
      <alignment horizontal="centerContinuous"/>
    </xf>
    <xf numFmtId="0" fontId="38" fillId="45" borderId="0" xfId="0" applyFont="1" applyFill="1" applyBorder="1" applyAlignment="1">
      <alignment/>
    </xf>
    <xf numFmtId="0" fontId="38" fillId="41" borderId="35" xfId="0" applyFont="1" applyFill="1" applyBorder="1" applyAlignment="1">
      <alignment/>
    </xf>
    <xf numFmtId="0" fontId="38" fillId="41" borderId="18" xfId="0" applyFont="1" applyFill="1" applyBorder="1" applyAlignment="1">
      <alignment/>
    </xf>
    <xf numFmtId="0" fontId="38" fillId="41" borderId="36" xfId="0" applyFont="1" applyFill="1" applyBorder="1" applyAlignment="1">
      <alignment/>
    </xf>
    <xf numFmtId="5" fontId="38" fillId="41" borderId="32" xfId="0" applyNumberFormat="1" applyFont="1" applyFill="1" applyBorder="1" applyAlignment="1">
      <alignment horizontal="center"/>
    </xf>
    <xf numFmtId="0" fontId="38" fillId="41" borderId="32" xfId="0" applyFont="1" applyFill="1" applyBorder="1" applyAlignment="1">
      <alignment horizontal="center"/>
    </xf>
    <xf numFmtId="182" fontId="38" fillId="41" borderId="32" xfId="0" applyNumberFormat="1" applyFont="1" applyFill="1" applyBorder="1" applyAlignment="1">
      <alignment horizontal="center"/>
    </xf>
    <xf numFmtId="195" fontId="38" fillId="41" borderId="32" xfId="0" applyNumberFormat="1" applyFont="1" applyFill="1" applyBorder="1" applyAlignment="1">
      <alignment horizontal="center"/>
    </xf>
    <xf numFmtId="0" fontId="38" fillId="41" borderId="0" xfId="0" applyFont="1" applyFill="1" applyAlignment="1">
      <alignment horizontal="center" wrapText="1"/>
    </xf>
    <xf numFmtId="0" fontId="86" fillId="41" borderId="26" xfId="0" applyFont="1" applyFill="1" applyBorder="1" applyAlignment="1">
      <alignment/>
    </xf>
    <xf numFmtId="0" fontId="38" fillId="41" borderId="27" xfId="0" applyFont="1" applyFill="1" applyBorder="1" applyAlignment="1">
      <alignment/>
    </xf>
    <xf numFmtId="0" fontId="38" fillId="41" borderId="28" xfId="0" applyFont="1" applyFill="1" applyBorder="1" applyAlignment="1">
      <alignment/>
    </xf>
    <xf numFmtId="0" fontId="38" fillId="41" borderId="34" xfId="0" applyFont="1" applyFill="1" applyBorder="1" applyAlignment="1">
      <alignment/>
    </xf>
    <xf numFmtId="0" fontId="38" fillId="41" borderId="30" xfId="0" applyFont="1" applyFill="1" applyBorder="1" applyAlignment="1">
      <alignment/>
    </xf>
    <xf numFmtId="0" fontId="38" fillId="41" borderId="35" xfId="0" applyFont="1" applyFill="1" applyBorder="1" applyAlignment="1">
      <alignment/>
    </xf>
    <xf numFmtId="0" fontId="38" fillId="41" borderId="18" xfId="0" applyFont="1" applyFill="1" applyBorder="1" applyAlignment="1">
      <alignment/>
    </xf>
    <xf numFmtId="0" fontId="38" fillId="41" borderId="36" xfId="0" applyFont="1" applyFill="1" applyBorder="1" applyAlignment="1">
      <alignment/>
    </xf>
    <xf numFmtId="178" fontId="38" fillId="41" borderId="0" xfId="0" applyNumberFormat="1" applyFont="1" applyFill="1" applyBorder="1" applyAlignment="1">
      <alignment horizontal="center"/>
    </xf>
    <xf numFmtId="0" fontId="38" fillId="41" borderId="31" xfId="0" applyFont="1" applyFill="1" applyBorder="1" applyAlignment="1">
      <alignment/>
    </xf>
    <xf numFmtId="5" fontId="38" fillId="41" borderId="0" xfId="0" applyNumberFormat="1" applyFont="1" applyFill="1" applyBorder="1" applyAlignment="1">
      <alignment horizontal="center"/>
    </xf>
    <xf numFmtId="0" fontId="38" fillId="45" borderId="0" xfId="0" applyFont="1" applyFill="1" applyAlignment="1">
      <alignment/>
    </xf>
    <xf numFmtId="182" fontId="38" fillId="43" borderId="13" xfId="0" applyNumberFormat="1" applyFont="1" applyFill="1" applyBorder="1" applyAlignment="1" applyProtection="1">
      <alignment horizontal="center"/>
      <protection locked="0"/>
    </xf>
    <xf numFmtId="195" fontId="38" fillId="41" borderId="0" xfId="0" applyNumberFormat="1" applyFont="1" applyFill="1" applyBorder="1" applyAlignment="1">
      <alignment/>
    </xf>
    <xf numFmtId="0" fontId="38" fillId="46" borderId="0" xfId="0" applyFont="1" applyFill="1" applyAlignment="1">
      <alignment/>
    </xf>
    <xf numFmtId="0" fontId="27" fillId="0" borderId="0" xfId="0" applyFont="1" applyAlignment="1">
      <alignment horizontal="center"/>
    </xf>
    <xf numFmtId="0" fontId="4" fillId="0" borderId="0" xfId="0" applyFont="1" applyAlignment="1">
      <alignment wrapText="1"/>
    </xf>
    <xf numFmtId="0" fontId="23" fillId="0" borderId="0" xfId="0" applyFont="1" applyAlignment="1">
      <alignment/>
    </xf>
    <xf numFmtId="0" fontId="88" fillId="0" borderId="0" xfId="0" applyFont="1" applyAlignment="1">
      <alignment wrapText="1"/>
    </xf>
    <xf numFmtId="0" fontId="22" fillId="0" borderId="0" xfId="0" applyFont="1" applyAlignment="1">
      <alignment wrapText="1"/>
    </xf>
    <xf numFmtId="0" fontId="23"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182" fontId="32" fillId="41" borderId="17" xfId="123" applyNumberFormat="1" applyFont="1" applyFill="1" applyBorder="1" applyAlignment="1" applyProtection="1">
      <alignment horizontal="center" vertical="center"/>
      <protection locked="0"/>
    </xf>
    <xf numFmtId="0" fontId="5" fillId="41" borderId="0" xfId="123" applyFont="1" applyFill="1" applyBorder="1" applyAlignment="1" applyProtection="1">
      <alignment vertical="center"/>
      <protection/>
    </xf>
    <xf numFmtId="0" fontId="5" fillId="41" borderId="15" xfId="123" applyFont="1" applyFill="1" applyBorder="1" applyAlignment="1" applyProtection="1">
      <alignment vertical="center"/>
      <protection/>
    </xf>
    <xf numFmtId="0" fontId="5" fillId="41" borderId="25" xfId="123" applyFont="1" applyFill="1" applyBorder="1" applyAlignment="1" applyProtection="1">
      <alignment vertical="center"/>
      <protection/>
    </xf>
    <xf numFmtId="0" fontId="5" fillId="44" borderId="16" xfId="123" applyFont="1" applyFill="1" applyBorder="1" applyAlignment="1" applyProtection="1">
      <alignment vertical="center"/>
      <protection/>
    </xf>
    <xf numFmtId="0" fontId="32" fillId="41" borderId="15" xfId="123" applyFont="1" applyFill="1" applyBorder="1" applyAlignment="1" applyProtection="1">
      <alignment vertical="center"/>
      <protection/>
    </xf>
    <xf numFmtId="194" fontId="14" fillId="41" borderId="15" xfId="123" applyNumberFormat="1" applyFont="1" applyFill="1" applyBorder="1" applyAlignment="1" applyProtection="1">
      <alignment horizontal="center" vertical="center"/>
      <protection/>
    </xf>
    <xf numFmtId="0" fontId="14" fillId="41" borderId="0" xfId="123" applyFont="1" applyFill="1" applyBorder="1" applyAlignment="1" applyProtection="1">
      <alignment horizontal="left" vertical="center"/>
      <protection/>
    </xf>
    <xf numFmtId="0" fontId="14" fillId="41" borderId="0" xfId="123" applyFont="1" applyFill="1" applyBorder="1" applyAlignment="1" applyProtection="1">
      <alignment vertical="center"/>
      <protection/>
    </xf>
    <xf numFmtId="194" fontId="14" fillId="41" borderId="21" xfId="123" applyNumberFormat="1" applyFont="1" applyFill="1" applyBorder="1" applyAlignment="1" applyProtection="1">
      <alignment horizontal="center" vertical="center"/>
      <protection/>
    </xf>
    <xf numFmtId="194" fontId="14" fillId="41" borderId="15" xfId="123" applyNumberFormat="1" applyFont="1" applyFill="1" applyBorder="1" applyAlignment="1" applyProtection="1">
      <alignment vertical="center"/>
      <protection/>
    </xf>
    <xf numFmtId="0" fontId="38" fillId="0" borderId="0" xfId="0" applyFont="1" applyAlignment="1">
      <alignment/>
    </xf>
    <xf numFmtId="0" fontId="39" fillId="0" borderId="0" xfId="123" applyFont="1" applyAlignment="1">
      <alignment horizontal="center"/>
      <protection/>
    </xf>
    <xf numFmtId="0" fontId="5" fillId="0" borderId="0" xfId="123" applyFont="1" applyAlignment="1">
      <alignment wrapText="1"/>
      <protection/>
    </xf>
    <xf numFmtId="0" fontId="40" fillId="0" borderId="0" xfId="71" applyFont="1" applyAlignment="1" applyProtection="1">
      <alignment/>
      <protection/>
    </xf>
    <xf numFmtId="0" fontId="5" fillId="0" borderId="0" xfId="475" applyFont="1" applyAlignment="1">
      <alignment vertical="center" wrapText="1"/>
      <protection/>
    </xf>
    <xf numFmtId="0" fontId="5" fillId="0" borderId="0" xfId="508" applyNumberFormat="1" applyFont="1" applyAlignment="1">
      <alignment vertical="center" wrapText="1"/>
      <protection/>
    </xf>
    <xf numFmtId="0" fontId="5" fillId="0" borderId="0" xfId="365" applyFont="1" applyAlignment="1">
      <alignment vertical="center" wrapText="1"/>
      <protection/>
    </xf>
    <xf numFmtId="0" fontId="89" fillId="0" borderId="0" xfId="0" applyFont="1" applyAlignment="1">
      <alignment vertical="center"/>
    </xf>
    <xf numFmtId="182" fontId="5" fillId="43" borderId="25" xfId="124" applyNumberFormat="1" applyFont="1" applyFill="1" applyBorder="1" applyAlignment="1" applyProtection="1">
      <alignment horizontal="center"/>
      <protection locked="0"/>
    </xf>
    <xf numFmtId="0" fontId="32" fillId="41" borderId="15" xfId="124" applyFont="1" applyFill="1" applyBorder="1" applyProtection="1">
      <alignment/>
      <protection/>
    </xf>
    <xf numFmtId="0" fontId="5" fillId="41" borderId="0" xfId="124" applyFont="1" applyFill="1" applyBorder="1" applyProtection="1">
      <alignment/>
      <protection/>
    </xf>
    <xf numFmtId="194" fontId="5" fillId="41" borderId="25" xfId="124" applyNumberFormat="1" applyFont="1" applyFill="1" applyBorder="1" applyAlignment="1" applyProtection="1">
      <alignment horizontal="center"/>
      <protection/>
    </xf>
    <xf numFmtId="0" fontId="5" fillId="41" borderId="21" xfId="124" applyFont="1" applyFill="1" applyBorder="1" applyProtection="1">
      <alignment/>
      <protection/>
    </xf>
    <xf numFmtId="0" fontId="5" fillId="41" borderId="13" xfId="124" applyFont="1" applyFill="1" applyBorder="1" applyProtection="1">
      <alignment/>
      <protection/>
    </xf>
    <xf numFmtId="194" fontId="5" fillId="44" borderId="16" xfId="124" applyNumberFormat="1" applyFont="1" applyFill="1" applyBorder="1" applyAlignment="1" applyProtection="1">
      <alignment horizontal="center"/>
      <protection/>
    </xf>
    <xf numFmtId="0" fontId="5" fillId="0" borderId="0" xfId="124" applyFont="1" applyFill="1" applyBorder="1" applyProtection="1">
      <alignment/>
      <protection/>
    </xf>
    <xf numFmtId="0" fontId="5" fillId="41" borderId="15" xfId="124" applyFont="1" applyFill="1" applyBorder="1" applyProtection="1">
      <alignment/>
      <protection/>
    </xf>
    <xf numFmtId="0" fontId="5" fillId="41" borderId="25" xfId="124" applyFont="1" applyFill="1" applyBorder="1" applyProtection="1">
      <alignment/>
      <protection/>
    </xf>
    <xf numFmtId="178" fontId="5" fillId="41" borderId="25" xfId="124" applyNumberFormat="1" applyFont="1" applyFill="1" applyBorder="1" applyAlignment="1" applyProtection="1">
      <alignment horizontal="center"/>
      <protection/>
    </xf>
    <xf numFmtId="0" fontId="5" fillId="44" borderId="15" xfId="124" applyFont="1" applyFill="1" applyBorder="1" applyProtection="1">
      <alignment/>
      <protection/>
    </xf>
    <xf numFmtId="0" fontId="5" fillId="44" borderId="0" xfId="124" applyFont="1" applyFill="1" applyBorder="1" applyProtection="1">
      <alignment/>
      <protection/>
    </xf>
    <xf numFmtId="0" fontId="5" fillId="44" borderId="21" xfId="124" applyFont="1" applyFill="1" applyBorder="1" applyProtection="1">
      <alignment/>
      <protection/>
    </xf>
    <xf numFmtId="0" fontId="5" fillId="44" borderId="13" xfId="124" applyFont="1" applyFill="1" applyBorder="1" applyProtection="1">
      <alignment/>
      <protection/>
    </xf>
    <xf numFmtId="0" fontId="5" fillId="0" borderId="0" xfId="124" applyFont="1" applyProtection="1">
      <alignment/>
      <protection/>
    </xf>
    <xf numFmtId="194" fontId="5" fillId="41" borderId="16" xfId="124" applyNumberFormat="1" applyFont="1" applyFill="1" applyBorder="1" applyAlignment="1" applyProtection="1">
      <alignment horizontal="center"/>
      <protection/>
    </xf>
    <xf numFmtId="3" fontId="5" fillId="42" borderId="24" xfId="0" applyNumberFormat="1" applyFont="1" applyFill="1" applyBorder="1" applyAlignment="1" applyProtection="1">
      <alignment horizontal="center" vertical="center"/>
      <protection/>
    </xf>
    <xf numFmtId="0" fontId="5" fillId="33" borderId="19" xfId="128"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104" applyNumberFormat="1" applyFont="1" applyFill="1" applyBorder="1" applyAlignment="1" applyProtection="1">
      <alignment vertical="center"/>
      <protection locked="0"/>
    </xf>
    <xf numFmtId="0" fontId="0" fillId="39" borderId="12" xfId="0" applyFill="1" applyBorder="1" applyAlignment="1" applyProtection="1">
      <alignment vertical="center"/>
      <protection/>
    </xf>
    <xf numFmtId="0" fontId="17" fillId="39"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protection/>
    </xf>
    <xf numFmtId="3" fontId="5" fillId="33" borderId="12" xfId="42" applyNumberFormat="1" applyFont="1" applyFill="1" applyBorder="1" applyAlignment="1" applyProtection="1">
      <alignment horizontal="right" vertical="center"/>
      <protection locked="0"/>
    </xf>
    <xf numFmtId="3" fontId="5" fillId="33" borderId="10" xfId="42" applyNumberFormat="1" applyFont="1" applyFill="1" applyBorder="1" applyAlignment="1" applyProtection="1">
      <alignment horizontal="right" vertical="center"/>
      <protection locked="0"/>
    </xf>
    <xf numFmtId="37" fontId="5" fillId="34" borderId="13" xfId="0" applyNumberFormat="1" applyFont="1" applyFill="1" applyBorder="1" applyAlignment="1" applyProtection="1">
      <alignment vertical="center"/>
      <protection locked="0"/>
    </xf>
    <xf numFmtId="0" fontId="4" fillId="34" borderId="13" xfId="0" applyFont="1" applyFill="1" applyBorder="1" applyAlignment="1" applyProtection="1">
      <alignment vertical="center"/>
      <protection/>
    </xf>
    <xf numFmtId="0" fontId="86" fillId="41" borderId="34" xfId="0" applyFont="1" applyFill="1" applyBorder="1" applyAlignment="1">
      <alignment horizontal="centerContinuous" vertical="center"/>
    </xf>
    <xf numFmtId="194" fontId="86" fillId="41" borderId="0" xfId="0" applyNumberFormat="1" applyFont="1" applyFill="1" applyBorder="1" applyAlignment="1">
      <alignment horizontal="centerContinuous" vertical="center"/>
    </xf>
    <xf numFmtId="0" fontId="86" fillId="41" borderId="0" xfId="0" applyFont="1" applyFill="1" applyBorder="1" applyAlignment="1">
      <alignment horizontal="centerContinuous" vertical="center"/>
    </xf>
    <xf numFmtId="182" fontId="86" fillId="41" borderId="0" xfId="0" applyNumberFormat="1" applyFont="1" applyFill="1" applyBorder="1" applyAlignment="1" applyProtection="1">
      <alignment horizontal="centerContinuous" vertical="center"/>
      <protection locked="0"/>
    </xf>
    <xf numFmtId="195" fontId="86" fillId="41" borderId="0" xfId="0" applyNumberFormat="1" applyFont="1" applyFill="1" applyBorder="1" applyAlignment="1">
      <alignment horizontal="centerContinuous" vertical="center"/>
    </xf>
    <xf numFmtId="0" fontId="86" fillId="41" borderId="30" xfId="0" applyFont="1" applyFill="1" applyBorder="1" applyAlignment="1">
      <alignment horizontal="centerContinuous" vertical="center"/>
    </xf>
    <xf numFmtId="0" fontId="86" fillId="41" borderId="34" xfId="0" applyFont="1" applyFill="1" applyBorder="1" applyAlignment="1">
      <alignment horizontal="centerContinuous"/>
    </xf>
    <xf numFmtId="194" fontId="86" fillId="41" borderId="0" xfId="0" applyNumberFormat="1" applyFont="1" applyFill="1" applyBorder="1" applyAlignment="1">
      <alignment horizontal="centerContinuous"/>
    </xf>
    <xf numFmtId="0" fontId="86" fillId="41" borderId="0" xfId="0" applyFont="1" applyFill="1" applyBorder="1" applyAlignment="1">
      <alignment horizontal="centerContinuous"/>
    </xf>
    <xf numFmtId="182" fontId="86" fillId="41" borderId="0" xfId="0" applyNumberFormat="1" applyFont="1" applyFill="1" applyBorder="1" applyAlignment="1" applyProtection="1">
      <alignment horizontal="centerContinuous"/>
      <protection locked="0"/>
    </xf>
    <xf numFmtId="195" fontId="86" fillId="41" borderId="0" xfId="0" applyNumberFormat="1" applyFont="1" applyFill="1" applyBorder="1" applyAlignment="1">
      <alignment horizontal="centerContinuous"/>
    </xf>
    <xf numFmtId="0" fontId="86" fillId="41" borderId="30" xfId="0" applyFont="1" applyFill="1" applyBorder="1" applyAlignment="1">
      <alignment horizontal="centerContinuous"/>
    </xf>
    <xf numFmtId="194" fontId="38" fillId="0" borderId="0" xfId="0" applyNumberFormat="1" applyFont="1" applyAlignment="1">
      <alignment/>
    </xf>
    <xf numFmtId="194" fontId="38" fillId="41" borderId="32" xfId="0" applyNumberFormat="1" applyFont="1" applyFill="1" applyBorder="1" applyAlignment="1">
      <alignment horizontal="center"/>
    </xf>
    <xf numFmtId="182" fontId="38" fillId="41" borderId="32" xfId="0" applyNumberFormat="1" applyFont="1" applyFill="1" applyBorder="1" applyAlignment="1" applyProtection="1">
      <alignment horizontal="center"/>
      <protection locked="0"/>
    </xf>
    <xf numFmtId="195" fontId="38" fillId="41" borderId="32" xfId="0" applyNumberFormat="1" applyFont="1" applyFill="1" applyBorder="1" applyAlignment="1">
      <alignment/>
    </xf>
    <xf numFmtId="182" fontId="38" fillId="41" borderId="0" xfId="0" applyNumberFormat="1" applyFont="1" applyFill="1" applyBorder="1" applyAlignment="1" applyProtection="1">
      <alignment horizontal="center"/>
      <protection locked="0"/>
    </xf>
    <xf numFmtId="194" fontId="38" fillId="41" borderId="27" xfId="0" applyNumberFormat="1" applyFont="1" applyFill="1" applyBorder="1" applyAlignment="1">
      <alignment horizontal="center"/>
    </xf>
    <xf numFmtId="0" fontId="38" fillId="41" borderId="27" xfId="0" applyFont="1" applyFill="1" applyBorder="1" applyAlignment="1">
      <alignment horizontal="center"/>
    </xf>
    <xf numFmtId="182" fontId="38" fillId="41" borderId="27" xfId="0" applyNumberFormat="1" applyFont="1" applyFill="1" applyBorder="1" applyAlignment="1" applyProtection="1">
      <alignment horizontal="center"/>
      <protection locked="0"/>
    </xf>
    <xf numFmtId="195" fontId="38" fillId="41" borderId="27" xfId="0" applyNumberFormat="1" applyFont="1" applyFill="1" applyBorder="1" applyAlignment="1">
      <alignment/>
    </xf>
    <xf numFmtId="194" fontId="38" fillId="41" borderId="0" xfId="0" applyNumberFormat="1" applyFont="1" applyFill="1" applyBorder="1" applyAlignment="1" applyProtection="1">
      <alignment horizontal="center"/>
      <protection locked="0"/>
    </xf>
    <xf numFmtId="194" fontId="5" fillId="44" borderId="25" xfId="124" applyNumberFormat="1" applyFont="1" applyFill="1" applyBorder="1" applyAlignment="1" applyProtection="1">
      <alignment horizontal="center"/>
      <protection/>
    </xf>
    <xf numFmtId="0" fontId="5" fillId="44" borderId="21" xfId="0" applyFont="1" applyFill="1" applyBorder="1" applyAlignment="1">
      <alignment vertical="center"/>
    </xf>
    <xf numFmtId="0" fontId="5" fillId="44" borderId="13" xfId="0" applyFont="1" applyFill="1" applyBorder="1" applyAlignment="1">
      <alignment vertical="center"/>
    </xf>
    <xf numFmtId="194" fontId="5" fillId="44" borderId="16" xfId="0" applyNumberFormat="1" applyFont="1" applyFill="1" applyBorder="1" applyAlignment="1">
      <alignment horizontal="center" vertical="center"/>
    </xf>
    <xf numFmtId="0" fontId="9" fillId="35" borderId="10" xfId="0" applyFont="1" applyFill="1" applyBorder="1" applyAlignment="1" applyProtection="1">
      <alignment vertical="center" shrinkToFit="1"/>
      <protection/>
    </xf>
    <xf numFmtId="0" fontId="5" fillId="41" borderId="0" xfId="0" applyFont="1" applyFill="1" applyAlignment="1" applyProtection="1">
      <alignment vertical="center"/>
      <protection locked="0"/>
    </xf>
    <xf numFmtId="37" fontId="5" fillId="41"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1" borderId="0" xfId="0" applyFill="1" applyBorder="1" applyAlignment="1" applyProtection="1">
      <alignment vertical="center" wrapText="1"/>
      <protection/>
    </xf>
    <xf numFmtId="177" fontId="5" fillId="41" borderId="0" xfId="42" applyNumberFormat="1" applyFont="1" applyFill="1" applyBorder="1" applyAlignment="1" applyProtection="1">
      <alignment vertical="center"/>
      <protection/>
    </xf>
    <xf numFmtId="0" fontId="9" fillId="41" borderId="0" xfId="0" applyFont="1" applyFill="1" applyBorder="1" applyAlignment="1" applyProtection="1">
      <alignment vertical="center" wrapText="1" shrinkToFit="1"/>
      <protection/>
    </xf>
    <xf numFmtId="178" fontId="5" fillId="34" borderId="10" xfId="0" applyNumberFormat="1" applyFont="1" applyFill="1" applyBorder="1" applyAlignment="1" applyProtection="1">
      <alignment horizontal="right" vertical="center"/>
      <protection/>
    </xf>
    <xf numFmtId="196" fontId="5" fillId="34" borderId="10" xfId="0" applyNumberFormat="1" applyFont="1" applyFill="1" applyBorder="1" applyAlignment="1" applyProtection="1">
      <alignment horizontal="right" vertical="center"/>
      <protection/>
    </xf>
    <xf numFmtId="182" fontId="5" fillId="38" borderId="37" xfId="0" applyNumberFormat="1" applyFont="1" applyFill="1" applyBorder="1" applyAlignment="1" applyProtection="1">
      <alignment horizontal="right" vertical="center"/>
      <protection/>
    </xf>
    <xf numFmtId="3" fontId="5" fillId="42" borderId="38"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10" xfId="104" applyNumberFormat="1" applyFont="1" applyFill="1" applyBorder="1" applyAlignment="1" applyProtection="1">
      <alignment vertical="center"/>
      <protection/>
    </xf>
    <xf numFmtId="0" fontId="5" fillId="34" borderId="11" xfId="104" applyFont="1" applyFill="1" applyBorder="1" applyAlignment="1" applyProtection="1">
      <alignment horizontal="center" vertical="center"/>
      <protection/>
    </xf>
    <xf numFmtId="0" fontId="5" fillId="34" borderId="12" xfId="104"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1" borderId="13" xfId="0" applyFont="1" applyFill="1" applyBorder="1" applyAlignment="1" applyProtection="1">
      <alignment vertical="center"/>
      <protection locked="0"/>
    </xf>
    <xf numFmtId="0" fontId="34" fillId="44" borderId="15" xfId="123" applyFont="1" applyFill="1" applyBorder="1" applyAlignment="1" applyProtection="1">
      <alignment vertical="center"/>
      <protection locked="0"/>
    </xf>
    <xf numFmtId="0" fontId="5" fillId="44" borderId="0" xfId="123" applyFont="1" applyFill="1" applyBorder="1" applyAlignment="1" applyProtection="1">
      <alignment vertical="center"/>
      <protection locked="0"/>
    </xf>
    <xf numFmtId="0" fontId="32" fillId="44" borderId="0" xfId="123" applyFont="1" applyFill="1" applyBorder="1" applyAlignment="1" applyProtection="1">
      <alignment vertical="center"/>
      <protection locked="0"/>
    </xf>
    <xf numFmtId="194" fontId="34" fillId="44" borderId="17" xfId="123" applyNumberFormat="1" applyFont="1" applyFill="1" applyBorder="1" applyAlignment="1" applyProtection="1">
      <alignment horizontal="center" vertical="center"/>
      <protection locked="0"/>
    </xf>
    <xf numFmtId="0" fontId="5" fillId="44"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5" xfId="71" applyNumberFormat="1" applyFont="1" applyFill="1" applyBorder="1" applyAlignment="1" applyProtection="1">
      <alignment horizontal="right" vertical="center"/>
      <protection/>
    </xf>
    <xf numFmtId="0" fontId="90" fillId="0" borderId="0" xfId="0" applyFont="1" applyAlignment="1" applyProtection="1">
      <alignment vertical="center"/>
      <protection locked="0"/>
    </xf>
    <xf numFmtId="0" fontId="5" fillId="41" borderId="0" xfId="0" applyFont="1" applyFill="1" applyBorder="1" applyAlignment="1" applyProtection="1">
      <alignment vertical="center"/>
      <protection/>
    </xf>
    <xf numFmtId="194" fontId="32" fillId="43" borderId="10" xfId="0" applyNumberFormat="1" applyFont="1" applyFill="1" applyBorder="1" applyAlignment="1" applyProtection="1">
      <alignment horizontal="center" vertical="center"/>
      <protection locked="0"/>
    </xf>
    <xf numFmtId="0" fontId="32" fillId="41" borderId="0" xfId="0" applyFont="1" applyFill="1" applyBorder="1" applyAlignment="1" applyProtection="1">
      <alignment vertical="center"/>
      <protection/>
    </xf>
    <xf numFmtId="0" fontId="32" fillId="41"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2" fillId="41" borderId="15" xfId="0" applyFont="1" applyFill="1" applyBorder="1" applyAlignment="1" applyProtection="1">
      <alignment vertical="center"/>
      <protection/>
    </xf>
    <xf numFmtId="194" fontId="32" fillId="41" borderId="25" xfId="0" applyNumberFormat="1" applyFont="1" applyFill="1" applyBorder="1" applyAlignment="1" applyProtection="1">
      <alignment horizontal="center" vertical="center"/>
      <protection/>
    </xf>
    <xf numFmtId="194" fontId="34" fillId="44" borderId="17" xfId="0" applyNumberFormat="1" applyFont="1" applyFill="1" applyBorder="1" applyAlignment="1" applyProtection="1">
      <alignment horizontal="center" vertical="center"/>
      <protection/>
    </xf>
    <xf numFmtId="0" fontId="5" fillId="44" borderId="0" xfId="0" applyFont="1" applyFill="1" applyBorder="1" applyAlignment="1" applyProtection="1">
      <alignment vertical="center"/>
      <protection/>
    </xf>
    <xf numFmtId="0" fontId="32" fillId="44" borderId="0" xfId="0" applyFont="1" applyFill="1" applyBorder="1" applyAlignment="1" applyProtection="1">
      <alignment vertical="center"/>
      <protection/>
    </xf>
    <xf numFmtId="0" fontId="34" fillId="44" borderId="15" xfId="0" applyFont="1" applyFill="1" applyBorder="1" applyAlignment="1" applyProtection="1">
      <alignment vertical="center"/>
      <protection/>
    </xf>
    <xf numFmtId="194" fontId="34" fillId="44" borderId="16" xfId="0" applyNumberFormat="1" applyFont="1" applyFill="1" applyBorder="1" applyAlignment="1" applyProtection="1">
      <alignment horizontal="center" vertical="center"/>
      <protection locked="0"/>
    </xf>
    <xf numFmtId="197" fontId="5" fillId="33" borderId="10" xfId="0" applyNumberFormat="1" applyFont="1" applyFill="1" applyBorder="1" applyAlignment="1" applyProtection="1">
      <alignment vertical="center"/>
      <protection locked="0"/>
    </xf>
    <xf numFmtId="37" fontId="32" fillId="34" borderId="21" xfId="0" applyNumberFormat="1" applyFont="1" applyFill="1" applyBorder="1" applyAlignment="1" applyProtection="1">
      <alignment horizontal="left" vertical="center"/>
      <protection/>
    </xf>
    <xf numFmtId="0" fontId="41" fillId="41" borderId="13"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1"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4" fillId="41" borderId="17" xfId="94" applyNumberFormat="1" applyFont="1" applyFill="1" applyBorder="1" applyAlignment="1" applyProtection="1">
      <alignment horizontal="center" vertical="center"/>
      <protection/>
    </xf>
    <xf numFmtId="194" fontId="14" fillId="41" borderId="15" xfId="94" applyNumberFormat="1" applyFont="1" applyFill="1" applyBorder="1" applyAlignment="1" applyProtection="1">
      <alignment horizontal="center" vertical="center"/>
      <protection/>
    </xf>
    <xf numFmtId="194" fontId="14" fillId="41" borderId="21" xfId="94" applyNumberFormat="1" applyFont="1" applyFill="1" applyBorder="1" applyAlignment="1" applyProtection="1">
      <alignment horizontal="center" vertical="center"/>
      <protection/>
    </xf>
    <xf numFmtId="194" fontId="14" fillId="41" borderId="15" xfId="94" applyNumberFormat="1" applyFont="1" applyFill="1" applyBorder="1" applyAlignment="1" applyProtection="1">
      <alignment vertical="center"/>
      <protection/>
    </xf>
    <xf numFmtId="194" fontId="14" fillId="44" borderId="21" xfId="94" applyNumberFormat="1" applyFont="1" applyFill="1" applyBorder="1" applyAlignment="1" applyProtection="1">
      <alignment horizontal="center" vertical="center"/>
      <protection/>
    </xf>
    <xf numFmtId="0" fontId="14" fillId="44" borderId="13" xfId="94" applyFont="1" applyFill="1" applyBorder="1" applyAlignment="1" applyProtection="1">
      <alignment vertical="center"/>
      <protection/>
    </xf>
    <xf numFmtId="0" fontId="5" fillId="41" borderId="0" xfId="104" applyFont="1" applyFill="1">
      <alignment/>
      <protection/>
    </xf>
    <xf numFmtId="0" fontId="0" fillId="0" borderId="0" xfId="104">
      <alignment/>
      <protection/>
    </xf>
    <xf numFmtId="0" fontId="5" fillId="41" borderId="0" xfId="104" applyFont="1" applyFill="1" applyAlignment="1">
      <alignment vertical="center"/>
      <protection/>
    </xf>
    <xf numFmtId="37" fontId="5" fillId="41" borderId="0" xfId="104" applyNumberFormat="1" applyFont="1" applyFill="1" applyAlignment="1">
      <alignment vertical="center"/>
      <protection/>
    </xf>
    <xf numFmtId="0" fontId="5" fillId="41" borderId="13" xfId="104" applyFont="1" applyFill="1" applyBorder="1" applyAlignment="1">
      <alignment vertical="center"/>
      <protection/>
    </xf>
    <xf numFmtId="0" fontId="5" fillId="41" borderId="0" xfId="104" applyFont="1" applyFill="1" applyAlignment="1">
      <alignment horizontal="center" vertical="center"/>
      <protection/>
    </xf>
    <xf numFmtId="0" fontId="6" fillId="41" borderId="0" xfId="104" applyFont="1" applyFill="1" applyAlignment="1">
      <alignment horizontal="center" vertical="center"/>
      <protection/>
    </xf>
    <xf numFmtId="194" fontId="5" fillId="41" borderId="0" xfId="104" applyNumberFormat="1" applyFont="1" applyFill="1" applyAlignment="1">
      <alignment vertical="center"/>
      <protection/>
    </xf>
    <xf numFmtId="194" fontId="5" fillId="41" borderId="18" xfId="104" applyNumberFormat="1" applyFont="1" applyFill="1" applyBorder="1" applyAlignment="1">
      <alignment vertical="center"/>
      <protection/>
    </xf>
    <xf numFmtId="6" fontId="5" fillId="41" borderId="0" xfId="104" applyNumberFormat="1" applyFont="1" applyFill="1" applyBorder="1" applyAlignment="1">
      <alignment vertical="center"/>
      <protection/>
    </xf>
    <xf numFmtId="194" fontId="5" fillId="41" borderId="0" xfId="104" applyNumberFormat="1" applyFont="1" applyFill="1" applyBorder="1" applyAlignment="1">
      <alignment vertical="center"/>
      <protection/>
    </xf>
    <xf numFmtId="0" fontId="90" fillId="44" borderId="0" xfId="104" applyFont="1" applyFill="1" applyAlignment="1">
      <alignment vertical="center"/>
      <protection/>
    </xf>
    <xf numFmtId="0" fontId="90" fillId="41" borderId="0" xfId="104" applyFont="1" applyFill="1" applyAlignment="1">
      <alignment horizontal="center" vertical="center"/>
      <protection/>
    </xf>
    <xf numFmtId="0" fontId="90" fillId="44" borderId="0" xfId="104" applyFont="1" applyFill="1" applyAlignment="1">
      <alignment horizontal="center" vertical="center"/>
      <protection/>
    </xf>
    <xf numFmtId="0" fontId="5" fillId="41" borderId="0" xfId="94" applyFont="1" applyFill="1">
      <alignment/>
      <protection/>
    </xf>
    <xf numFmtId="0" fontId="0" fillId="41" borderId="0" xfId="104" applyFill="1">
      <alignment/>
      <protection/>
    </xf>
    <xf numFmtId="0" fontId="4" fillId="41" borderId="0" xfId="94" applyFont="1" applyFill="1">
      <alignment/>
      <protection/>
    </xf>
    <xf numFmtId="0" fontId="0" fillId="41" borderId="0" xfId="94" applyFill="1">
      <alignment/>
      <protection/>
    </xf>
    <xf numFmtId="0" fontId="5" fillId="41" borderId="0" xfId="104" applyFont="1" applyFill="1" applyAlignment="1">
      <alignment horizontal="left" vertical="center"/>
      <protection/>
    </xf>
    <xf numFmtId="0" fontId="5" fillId="41" borderId="0" xfId="104" applyFont="1" applyFill="1" applyAlignment="1">
      <alignment horizontal="right" vertical="center"/>
      <protection/>
    </xf>
    <xf numFmtId="182" fontId="5" fillId="41" borderId="0" xfId="104" applyNumberFormat="1" applyFont="1" applyFill="1" applyAlignment="1">
      <alignment horizontal="center" vertical="center"/>
      <protection/>
    </xf>
    <xf numFmtId="198" fontId="90" fillId="41" borderId="0" xfId="104" applyNumberFormat="1" applyFont="1" applyFill="1" applyAlignment="1">
      <alignment horizontal="center" vertical="center"/>
      <protection/>
    </xf>
    <xf numFmtId="0" fontId="92" fillId="44" borderId="0" xfId="104" applyFont="1" applyFill="1" applyAlignment="1">
      <alignment horizontal="center" vertical="center"/>
      <protection/>
    </xf>
    <xf numFmtId="0" fontId="10" fillId="0" borderId="0" xfId="71" applyAlignment="1" applyProtection="1">
      <alignment/>
      <protection/>
    </xf>
    <xf numFmtId="194" fontId="38" fillId="41" borderId="0" xfId="0" applyNumberFormat="1" applyFont="1" applyFill="1" applyBorder="1" applyAlignment="1">
      <alignment horizontal="center"/>
    </xf>
    <xf numFmtId="195" fontId="38" fillId="41" borderId="0" xfId="0" applyNumberFormat="1" applyFont="1" applyFill="1" applyBorder="1" applyAlignment="1">
      <alignment horizontal="center"/>
    </xf>
    <xf numFmtId="0" fontId="38" fillId="41" borderId="0" xfId="0" applyFont="1" applyFill="1" applyBorder="1" applyAlignment="1">
      <alignment horizontal="center"/>
    </xf>
    <xf numFmtId="194" fontId="38" fillId="43" borderId="13" xfId="0" applyNumberFormat="1" applyFont="1" applyFill="1" applyBorder="1" applyAlignment="1" applyProtection="1">
      <alignment horizontal="center"/>
      <protection locked="0"/>
    </xf>
    <xf numFmtId="0" fontId="38" fillId="41" borderId="18" xfId="0" applyFont="1" applyFill="1" applyBorder="1" applyAlignment="1">
      <alignment horizontal="center"/>
    </xf>
    <xf numFmtId="0" fontId="86" fillId="41" borderId="0" xfId="0" applyFont="1" applyFill="1" applyAlignment="1">
      <alignment horizontal="center" wrapText="1"/>
    </xf>
    <xf numFmtId="0" fontId="38" fillId="41" borderId="0" xfId="0" applyFont="1" applyFill="1" applyBorder="1" applyAlignment="1">
      <alignment/>
    </xf>
    <xf numFmtId="0" fontId="38" fillId="41" borderId="33" xfId="0" applyFont="1" applyFill="1" applyBorder="1" applyAlignment="1">
      <alignment/>
    </xf>
    <xf numFmtId="0" fontId="86" fillId="41" borderId="0" xfId="0" applyFont="1" applyFill="1" applyAlignment="1">
      <alignment horizontal="center"/>
    </xf>
    <xf numFmtId="1" fontId="5" fillId="34" borderId="22" xfId="0" applyNumberFormat="1"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182" fontId="5" fillId="41" borderId="0" xfId="0" applyNumberFormat="1" applyFont="1" applyFill="1" applyBorder="1" applyAlignment="1" applyProtection="1">
      <alignment horizontal="right" vertical="center"/>
      <protection locked="0"/>
    </xf>
    <xf numFmtId="182" fontId="32" fillId="41" borderId="15" xfId="0" applyNumberFormat="1" applyFont="1" applyFill="1" applyBorder="1" applyAlignment="1" applyProtection="1">
      <alignment horizontal="center" vertical="center"/>
      <protection/>
    </xf>
    <xf numFmtId="0" fontId="32" fillId="41" borderId="0" xfId="0" applyFont="1" applyFill="1" applyBorder="1" applyAlignment="1" applyProtection="1">
      <alignment horizontal="left" vertical="center"/>
      <protection/>
    </xf>
    <xf numFmtId="0" fontId="33" fillId="41" borderId="0" xfId="0" applyFont="1" applyFill="1" applyBorder="1" applyAlignment="1" applyProtection="1">
      <alignment horizontal="center" vertical="center"/>
      <protection/>
    </xf>
    <xf numFmtId="0" fontId="0" fillId="41" borderId="25" xfId="0" applyFill="1" applyBorder="1" applyAlignment="1" applyProtection="1">
      <alignment vertical="center"/>
      <protection/>
    </xf>
    <xf numFmtId="182" fontId="32" fillId="44" borderId="21" xfId="0" applyNumberFormat="1" applyFont="1" applyFill="1" applyBorder="1" applyAlignment="1" applyProtection="1">
      <alignment horizontal="center" vertical="center"/>
      <protection/>
    </xf>
    <xf numFmtId="182" fontId="32" fillId="41" borderId="19" xfId="0" applyNumberFormat="1" applyFont="1" applyFill="1" applyBorder="1" applyAlignment="1" applyProtection="1">
      <alignment horizontal="center" vertical="center"/>
      <protection/>
    </xf>
    <xf numFmtId="182" fontId="32" fillId="44" borderId="19" xfId="0" applyNumberFormat="1" applyFont="1" applyFill="1" applyBorder="1" applyAlignment="1" applyProtection="1">
      <alignment horizontal="center" vertical="center"/>
      <protection/>
    </xf>
    <xf numFmtId="0" fontId="32" fillId="41" borderId="13" xfId="0" applyFont="1" applyFill="1" applyBorder="1" applyAlignment="1" applyProtection="1">
      <alignment horizontal="left" vertical="center"/>
      <protection/>
    </xf>
    <xf numFmtId="0" fontId="33" fillId="41" borderId="13" xfId="0" applyFont="1" applyFill="1" applyBorder="1" applyAlignment="1" applyProtection="1">
      <alignment horizontal="center" vertical="center"/>
      <protection/>
    </xf>
    <xf numFmtId="0" fontId="0" fillId="41"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0" fillId="0" borderId="0" xfId="550" applyFont="1" applyAlignment="1">
      <alignment horizontal="left" vertical="center"/>
      <protection/>
    </xf>
    <xf numFmtId="0" fontId="5" fillId="0" borderId="0" xfId="92" applyFont="1">
      <alignment/>
      <protection/>
    </xf>
    <xf numFmtId="0" fontId="93" fillId="0" borderId="0" xfId="92" applyFont="1">
      <alignment/>
      <protection/>
    </xf>
    <xf numFmtId="0" fontId="0" fillId="0" borderId="0" xfId="92">
      <alignment/>
      <protection/>
    </xf>
    <xf numFmtId="0" fontId="5" fillId="0" borderId="0" xfId="0" applyFont="1" applyAlignment="1" applyProtection="1">
      <alignment/>
      <protection locked="0"/>
    </xf>
    <xf numFmtId="0" fontId="5" fillId="33" borderId="10" xfId="0" applyFont="1" applyFill="1" applyBorder="1" applyAlignment="1" applyProtection="1">
      <alignment vertical="center"/>
      <protection locked="0"/>
    </xf>
    <xf numFmtId="164" fontId="5" fillId="33" borderId="10" xfId="0" applyNumberFormat="1" applyFont="1" applyFill="1" applyBorder="1" applyAlignment="1" applyProtection="1">
      <alignment vertical="center"/>
      <protection locked="0"/>
    </xf>
    <xf numFmtId="0" fontId="5" fillId="34" borderId="25" xfId="0" applyFont="1" applyFill="1" applyBorder="1" applyAlignment="1" applyProtection="1">
      <alignment vertical="center"/>
      <protection/>
    </xf>
    <xf numFmtId="0" fontId="29" fillId="0" borderId="0" xfId="550">
      <alignment/>
      <protection/>
    </xf>
    <xf numFmtId="187" fontId="14" fillId="0" borderId="0" xfId="550" applyNumberFormat="1" applyFont="1" applyAlignment="1">
      <alignment horizontal="left" vertical="center"/>
      <protection/>
    </xf>
    <xf numFmtId="49" fontId="5" fillId="0" borderId="0" xfId="550" applyNumberFormat="1" applyFont="1" applyAlignment="1">
      <alignment horizontal="left" vertical="center"/>
      <protection/>
    </xf>
    <xf numFmtId="0" fontId="14" fillId="0" borderId="0" xfId="550" applyFont="1" applyAlignment="1">
      <alignment horizontal="left" vertical="center"/>
      <protection/>
    </xf>
    <xf numFmtId="188" fontId="14" fillId="0" borderId="0" xfId="550" applyNumberFormat="1" applyFont="1" applyAlignment="1">
      <alignment horizontal="left" vertical="center"/>
      <protection/>
    </xf>
    <xf numFmtId="0" fontId="5" fillId="41" borderId="0" xfId="0" applyFont="1" applyFill="1" applyBorder="1" applyAlignment="1" applyProtection="1">
      <alignment vertical="center"/>
      <protection/>
    </xf>
    <xf numFmtId="194" fontId="32" fillId="43" borderId="10" xfId="0" applyNumberFormat="1" applyFont="1" applyFill="1" applyBorder="1" applyAlignment="1" applyProtection="1">
      <alignment horizontal="center" vertical="center"/>
      <protection locked="0"/>
    </xf>
    <xf numFmtId="0" fontId="5" fillId="41" borderId="15" xfId="0" applyFont="1" applyFill="1" applyBorder="1" applyAlignment="1" applyProtection="1">
      <alignment vertical="center"/>
      <protection/>
    </xf>
    <xf numFmtId="0" fontId="5" fillId="41" borderId="25" xfId="0" applyFont="1" applyFill="1" applyBorder="1" applyAlignment="1" applyProtection="1">
      <alignment vertical="center"/>
      <protection/>
    </xf>
    <xf numFmtId="194" fontId="32" fillId="41" borderId="15" xfId="0" applyNumberFormat="1" applyFont="1" applyFill="1" applyBorder="1" applyAlignment="1" applyProtection="1">
      <alignment horizontal="center" vertical="center"/>
      <protection/>
    </xf>
    <xf numFmtId="0" fontId="32" fillId="41" borderId="0" xfId="0" applyFont="1" applyFill="1" applyBorder="1" applyAlignment="1" applyProtection="1">
      <alignment horizontal="left" vertical="center"/>
      <protection/>
    </xf>
    <xf numFmtId="0" fontId="32" fillId="41" borderId="25" xfId="0" applyFont="1" applyFill="1" applyBorder="1" applyAlignment="1" applyProtection="1">
      <alignment vertical="center"/>
      <protection/>
    </xf>
    <xf numFmtId="0" fontId="32" fillId="41" borderId="0" xfId="0" applyFont="1" applyFill="1" applyBorder="1" applyAlignment="1" applyProtection="1">
      <alignment vertical="center"/>
      <protection/>
    </xf>
    <xf numFmtId="194" fontId="32" fillId="41" borderId="21" xfId="0" applyNumberFormat="1" applyFont="1" applyFill="1" applyBorder="1" applyAlignment="1" applyProtection="1">
      <alignment horizontal="center" vertical="center"/>
      <protection/>
    </xf>
    <xf numFmtId="194" fontId="32" fillId="41" borderId="15" xfId="0" applyNumberFormat="1" applyFont="1" applyFill="1" applyBorder="1" applyAlignment="1" applyProtection="1">
      <alignment vertical="center"/>
      <protection/>
    </xf>
    <xf numFmtId="0" fontId="32" fillId="44" borderId="16" xfId="0" applyFont="1" applyFill="1" applyBorder="1" applyAlignment="1" applyProtection="1">
      <alignment vertical="center"/>
      <protection/>
    </xf>
    <xf numFmtId="0" fontId="5" fillId="44" borderId="16" xfId="0" applyFont="1" applyFill="1" applyBorder="1" applyAlignment="1" applyProtection="1">
      <alignment vertical="center"/>
      <protection/>
    </xf>
    <xf numFmtId="0" fontId="32" fillId="41" borderId="15" xfId="0" applyFont="1" applyFill="1" applyBorder="1" applyAlignment="1" applyProtection="1">
      <alignment horizontal="left" vertical="center"/>
      <protection/>
    </xf>
    <xf numFmtId="0" fontId="32" fillId="41" borderId="15" xfId="0" applyFont="1" applyFill="1" applyBorder="1" applyAlignment="1" applyProtection="1">
      <alignment vertical="center"/>
      <protection/>
    </xf>
    <xf numFmtId="194" fontId="32" fillId="41" borderId="25" xfId="0" applyNumberFormat="1" applyFont="1" applyFill="1" applyBorder="1" applyAlignment="1" applyProtection="1">
      <alignment horizontal="center" vertical="center"/>
      <protection/>
    </xf>
    <xf numFmtId="194" fontId="14" fillId="41" borderId="15" xfId="0" applyNumberFormat="1" applyFont="1" applyFill="1" applyBorder="1" applyAlignment="1" applyProtection="1">
      <alignment horizontal="center" vertical="center"/>
      <protection/>
    </xf>
    <xf numFmtId="0" fontId="14" fillId="41" borderId="0" xfId="0" applyFont="1" applyFill="1" applyBorder="1" applyAlignment="1" applyProtection="1">
      <alignment vertical="center"/>
      <protection/>
    </xf>
    <xf numFmtId="194" fontId="14" fillId="41" borderId="21" xfId="0" applyNumberFormat="1" applyFont="1" applyFill="1" applyBorder="1" applyAlignment="1" applyProtection="1">
      <alignment horizontal="center" vertical="center"/>
      <protection/>
    </xf>
    <xf numFmtId="194" fontId="14" fillId="41" borderId="15" xfId="0" applyNumberFormat="1" applyFont="1" applyFill="1" applyBorder="1" applyAlignment="1" applyProtection="1">
      <alignment vertical="center"/>
      <protection/>
    </xf>
    <xf numFmtId="194" fontId="14" fillId="44" borderId="21" xfId="0" applyNumberFormat="1" applyFont="1" applyFill="1" applyBorder="1" applyAlignment="1" applyProtection="1">
      <alignment horizontal="center" vertical="center"/>
      <protection/>
    </xf>
    <xf numFmtId="0" fontId="14" fillId="44" borderId="13" xfId="0" applyFont="1" applyFill="1" applyBorder="1" applyAlignment="1" applyProtection="1">
      <alignment vertical="center"/>
      <protection/>
    </xf>
    <xf numFmtId="0" fontId="5" fillId="0" borderId="0" xfId="550" applyFont="1" applyAlignment="1">
      <alignment horizontal="left" vertical="center"/>
      <protection/>
    </xf>
    <xf numFmtId="0" fontId="94" fillId="0" borderId="0" xfId="550" applyFont="1">
      <alignment/>
      <protection/>
    </xf>
    <xf numFmtId="187" fontId="95" fillId="0" borderId="0" xfId="550" applyNumberFormat="1" applyFont="1" applyAlignment="1">
      <alignment horizontal="left" vertical="center"/>
      <protection/>
    </xf>
    <xf numFmtId="0" fontId="95" fillId="0" borderId="0" xfId="550" applyNumberFormat="1" applyFont="1" applyAlignment="1">
      <alignment horizontal="left" vertical="center"/>
      <protection/>
    </xf>
    <xf numFmtId="1" fontId="95" fillId="0" borderId="0" xfId="550" applyNumberFormat="1" applyFont="1" applyAlignment="1">
      <alignment horizontal="left" vertical="center"/>
      <protection/>
    </xf>
    <xf numFmtId="0" fontId="96" fillId="0" borderId="0" xfId="550" applyFont="1" applyAlignment="1">
      <alignment horizontal="left" vertical="center"/>
      <protection/>
    </xf>
    <xf numFmtId="49" fontId="5" fillId="0" borderId="0" xfId="550" applyNumberFormat="1" applyFont="1" applyFill="1" applyAlignment="1" applyProtection="1">
      <alignment horizontal="left" vertical="center"/>
      <protection locked="0"/>
    </xf>
    <xf numFmtId="0" fontId="32" fillId="41" borderId="13" xfId="0" applyFont="1" applyFill="1" applyBorder="1" applyAlignment="1" applyProtection="1">
      <alignment horizontal="left" vertical="center"/>
      <protection/>
    </xf>
    <xf numFmtId="0" fontId="33" fillId="41" borderId="13" xfId="0" applyFont="1" applyFill="1" applyBorder="1" applyAlignment="1" applyProtection="1">
      <alignment horizontal="center" vertical="center"/>
      <protection/>
    </xf>
    <xf numFmtId="0" fontId="0" fillId="41" borderId="16" xfId="0" applyFill="1" applyBorder="1" applyAlignment="1" applyProtection="1">
      <alignment vertical="center"/>
      <protection/>
    </xf>
    <xf numFmtId="194" fontId="34" fillId="44" borderId="17" xfId="0" applyNumberFormat="1" applyFont="1" applyFill="1" applyBorder="1" applyAlignment="1" applyProtection="1">
      <alignment horizontal="center" vertical="center"/>
      <protection/>
    </xf>
    <xf numFmtId="0" fontId="33" fillId="41" borderId="0" xfId="0" applyFont="1" applyFill="1" applyBorder="1" applyAlignment="1" applyProtection="1">
      <alignment horizontal="center" vertical="center"/>
      <protection/>
    </xf>
    <xf numFmtId="0" fontId="0" fillId="41" borderId="25" xfId="0" applyFill="1" applyBorder="1" applyAlignment="1" applyProtection="1">
      <alignment vertical="center"/>
      <protection/>
    </xf>
    <xf numFmtId="0" fontId="5" fillId="44" borderId="0" xfId="0" applyFont="1" applyFill="1" applyBorder="1" applyAlignment="1" applyProtection="1">
      <alignment vertical="center"/>
      <protection/>
    </xf>
    <xf numFmtId="0" fontId="32" fillId="44" borderId="0" xfId="0" applyFont="1" applyFill="1" applyBorder="1" applyAlignment="1" applyProtection="1">
      <alignment vertical="center"/>
      <protection/>
    </xf>
    <xf numFmtId="0" fontId="34" fillId="44" borderId="15" xfId="0" applyFont="1" applyFill="1" applyBorder="1" applyAlignment="1" applyProtection="1">
      <alignment vertical="center"/>
      <protection/>
    </xf>
    <xf numFmtId="194" fontId="34" fillId="44" borderId="16" xfId="0" applyNumberFormat="1" applyFont="1" applyFill="1" applyBorder="1" applyAlignment="1" applyProtection="1">
      <alignment horizontal="center" vertical="center"/>
      <protection locked="0"/>
    </xf>
    <xf numFmtId="182" fontId="34" fillId="41" borderId="17" xfId="0" applyNumberFormat="1" applyFont="1" applyFill="1" applyBorder="1" applyAlignment="1" applyProtection="1">
      <alignment horizontal="center" vertical="center"/>
      <protection/>
    </xf>
    <xf numFmtId="194" fontId="32" fillId="44" borderId="21" xfId="0" applyNumberFormat="1" applyFont="1" applyFill="1" applyBorder="1" applyAlignment="1" applyProtection="1">
      <alignment horizontal="center" vertical="center"/>
      <protection/>
    </xf>
    <xf numFmtId="0" fontId="32" fillId="44" borderId="13" xfId="0" applyFont="1" applyFill="1" applyBorder="1" applyAlignment="1" applyProtection="1">
      <alignment vertical="center"/>
      <protection/>
    </xf>
    <xf numFmtId="0" fontId="41" fillId="41" borderId="13" xfId="0" applyFont="1" applyFill="1" applyBorder="1" applyAlignment="1">
      <alignment horizontal="left" vertical="center"/>
    </xf>
    <xf numFmtId="0" fontId="91" fillId="0" borderId="0" xfId="0" applyFont="1" applyAlignment="1" applyProtection="1">
      <alignment/>
      <protection locked="0"/>
    </xf>
    <xf numFmtId="182" fontId="32" fillId="41" borderId="15" xfId="0" applyNumberFormat="1" applyFont="1" applyFill="1" applyBorder="1" applyAlignment="1" applyProtection="1">
      <alignment horizontal="center" vertical="center"/>
      <protection/>
    </xf>
    <xf numFmtId="182" fontId="32" fillId="41" borderId="19" xfId="0" applyNumberFormat="1" applyFont="1" applyFill="1" applyBorder="1" applyAlignment="1" applyProtection="1">
      <alignment horizontal="center" vertical="center"/>
      <protection/>
    </xf>
    <xf numFmtId="182" fontId="32" fillId="44" borderId="21" xfId="0" applyNumberFormat="1" applyFont="1" applyFill="1" applyBorder="1" applyAlignment="1" applyProtection="1">
      <alignment horizontal="center" vertical="center"/>
      <protection/>
    </xf>
    <xf numFmtId="182" fontId="32" fillId="44" borderId="19" xfId="0" applyNumberFormat="1" applyFont="1" applyFill="1" applyBorder="1" applyAlignment="1" applyProtection="1">
      <alignment horizontal="center" vertical="center"/>
      <protection/>
    </xf>
    <xf numFmtId="0" fontId="5" fillId="41" borderId="25" xfId="0" applyFont="1" applyFill="1" applyBorder="1" applyAlignment="1" applyProtection="1">
      <alignment/>
      <protection locked="0"/>
    </xf>
    <xf numFmtId="0" fontId="5" fillId="44" borderId="16" xfId="0" applyFont="1" applyFill="1" applyBorder="1" applyAlignment="1" applyProtection="1">
      <alignment/>
      <protection locked="0"/>
    </xf>
    <xf numFmtId="0" fontId="5" fillId="41" borderId="25" xfId="0" applyFont="1" applyFill="1" applyBorder="1" applyAlignment="1" applyProtection="1">
      <alignment vertical="center"/>
      <protection locked="0"/>
    </xf>
    <xf numFmtId="0" fontId="32" fillId="34" borderId="25" xfId="71" applyNumberFormat="1" applyFont="1" applyFill="1" applyBorder="1" applyAlignment="1" applyProtection="1">
      <alignment horizontal="center" vertical="center"/>
      <protection/>
    </xf>
    <xf numFmtId="0" fontId="5" fillId="0" borderId="0" xfId="166" applyFont="1" applyAlignment="1">
      <alignment vertical="center"/>
      <protection/>
    </xf>
    <xf numFmtId="0" fontId="5" fillId="0" borderId="0" xfId="574" applyFont="1" applyAlignment="1">
      <alignment vertical="center" wrapText="1"/>
      <protection/>
    </xf>
    <xf numFmtId="0" fontId="5" fillId="0" borderId="0" xfId="93" applyFont="1" applyAlignment="1">
      <alignment vertical="center" wrapText="1"/>
      <protection/>
    </xf>
    <xf numFmtId="0" fontId="5" fillId="0" borderId="0" xfId="94" applyFont="1" applyAlignment="1">
      <alignment vertical="center" wrapText="1"/>
      <protection/>
    </xf>
    <xf numFmtId="0" fontId="5" fillId="0" borderId="0" xfId="129" applyFont="1" applyAlignment="1">
      <alignment vertical="center" wrapText="1"/>
      <protection/>
    </xf>
    <xf numFmtId="0" fontId="5" fillId="0" borderId="0" xfId="114" applyFont="1" applyAlignment="1">
      <alignment vertical="center" wrapText="1"/>
      <protection/>
    </xf>
    <xf numFmtId="0" fontId="5" fillId="0" borderId="0" xfId="152" applyFont="1" applyAlignment="1">
      <alignment vertical="center" wrapText="1"/>
      <protection/>
    </xf>
    <xf numFmtId="0" fontId="5" fillId="0" borderId="0" xfId="161" applyFont="1" applyAlignment="1">
      <alignment vertical="center" wrapText="1"/>
      <protection/>
    </xf>
    <xf numFmtId="0" fontId="5" fillId="0" borderId="0" xfId="189" applyFont="1" applyAlignment="1">
      <alignment vertical="center" wrapText="1"/>
      <protection/>
    </xf>
    <xf numFmtId="197" fontId="5" fillId="33" borderId="10" xfId="104" applyNumberFormat="1" applyFont="1" applyFill="1" applyBorder="1" applyAlignment="1" applyProtection="1">
      <alignment vertical="center"/>
      <protection locked="0"/>
    </xf>
    <xf numFmtId="0" fontId="43" fillId="0" borderId="0" xfId="0" applyFont="1" applyAlignment="1" applyProtection="1">
      <alignment vertical="center"/>
      <protection/>
    </xf>
    <xf numFmtId="0" fontId="0" fillId="32" borderId="0" xfId="104" applyFill="1">
      <alignment/>
      <protection/>
    </xf>
    <xf numFmtId="0" fontId="0" fillId="32" borderId="0" xfId="94" applyFill="1">
      <alignment/>
      <protection/>
    </xf>
    <xf numFmtId="0" fontId="10" fillId="32" borderId="0" xfId="71" applyFill="1" applyAlignment="1" applyProtection="1">
      <alignment/>
      <protection/>
    </xf>
    <xf numFmtId="0" fontId="5" fillId="0" borderId="0" xfId="0" applyFont="1" applyAlignment="1">
      <alignment wrapText="1"/>
    </xf>
    <xf numFmtId="3" fontId="5" fillId="34" borderId="0" xfId="0" applyNumberFormat="1" applyFont="1" applyFill="1" applyAlignment="1" applyProtection="1">
      <alignment horizontal="right" vertical="center"/>
      <protection/>
    </xf>
    <xf numFmtId="3" fontId="5" fillId="41" borderId="18" xfId="0" applyNumberFormat="1" applyFont="1" applyFill="1" applyBorder="1" applyAlignment="1">
      <alignment horizontal="right" vertical="center"/>
    </xf>
    <xf numFmtId="37" fontId="15" fillId="34" borderId="0" xfId="0" applyNumberFormat="1" applyFont="1" applyFill="1" applyBorder="1" applyAlignment="1" applyProtection="1">
      <alignment horizontal="center" vertical="center"/>
      <protection/>
    </xf>
    <xf numFmtId="37" fontId="15" fillId="34" borderId="18" xfId="0" applyNumberFormat="1" applyFont="1" applyFill="1" applyBorder="1" applyAlignment="1" applyProtection="1">
      <alignment horizontal="center" vertical="center"/>
      <protection/>
    </xf>
    <xf numFmtId="0" fontId="5" fillId="0" borderId="0" xfId="94" applyFont="1" applyAlignment="1">
      <alignment horizontal="left" vertical="center"/>
      <protection/>
    </xf>
    <xf numFmtId="49" fontId="5" fillId="33" borderId="19" xfId="550" applyNumberFormat="1" applyFont="1" applyFill="1" applyBorder="1" applyAlignment="1" applyProtection="1">
      <alignment horizontal="left" vertical="center"/>
      <protection locked="0"/>
    </xf>
    <xf numFmtId="49" fontId="5" fillId="33" borderId="17" xfId="550" applyNumberFormat="1" applyFont="1" applyFill="1" applyBorder="1" applyAlignment="1" applyProtection="1">
      <alignment horizontal="left" vertical="center"/>
      <protection locked="0"/>
    </xf>
    <xf numFmtId="49" fontId="5" fillId="33" borderId="10" xfId="550" applyNumberFormat="1" applyFont="1" applyFill="1" applyBorder="1" applyAlignment="1" applyProtection="1">
      <alignment horizontal="left" vertical="center"/>
      <protection locked="0"/>
    </xf>
    <xf numFmtId="0" fontId="5" fillId="33" borderId="19" xfId="550" applyFont="1" applyFill="1" applyBorder="1" applyAlignment="1" applyProtection="1">
      <alignment horizontal="left" vertical="center"/>
      <protection locked="0"/>
    </xf>
    <xf numFmtId="0" fontId="5" fillId="33" borderId="14" xfId="550" applyFont="1" applyFill="1" applyBorder="1" applyAlignment="1" applyProtection="1">
      <alignment horizontal="left" vertical="center"/>
      <protection locked="0"/>
    </xf>
    <xf numFmtId="0" fontId="29" fillId="33" borderId="17" xfId="550" applyFill="1" applyBorder="1" applyAlignment="1" applyProtection="1">
      <alignment horizontal="left" vertical="center"/>
      <protection locked="0"/>
    </xf>
    <xf numFmtId="37" fontId="5" fillId="33" borderId="19" xfId="0" applyNumberFormat="1" applyFont="1" applyFill="1" applyBorder="1" applyAlignment="1" applyProtection="1">
      <alignment horizontal="left" vertical="center"/>
      <protection locked="0"/>
    </xf>
    <xf numFmtId="0" fontId="5" fillId="33" borderId="17" xfId="0" applyFont="1" applyFill="1" applyBorder="1" applyAlignment="1" applyProtection="1">
      <alignment vertical="center"/>
      <protection/>
    </xf>
    <xf numFmtId="0" fontId="5" fillId="0" borderId="0" xfId="92" applyFont="1" applyAlignment="1">
      <alignment vertical="top" wrapText="1"/>
      <protection/>
    </xf>
    <xf numFmtId="0" fontId="7" fillId="34" borderId="0" xfId="94" applyFont="1" applyFill="1" applyAlignment="1" applyProtection="1">
      <alignment horizontal="center" vertical="center"/>
      <protection/>
    </xf>
    <xf numFmtId="3" fontId="5" fillId="34" borderId="0" xfId="94" applyNumberFormat="1" applyFont="1" applyFill="1" applyAlignment="1" applyProtection="1">
      <alignment vertical="center"/>
      <protection/>
    </xf>
    <xf numFmtId="3" fontId="5" fillId="34" borderId="13" xfId="94" applyNumberFormat="1" applyFont="1" applyFill="1" applyBorder="1" applyAlignment="1" applyProtection="1">
      <alignment vertical="center"/>
      <protection/>
    </xf>
    <xf numFmtId="3" fontId="5" fillId="34" borderId="0" xfId="94" applyNumberFormat="1" applyFont="1" applyFill="1" applyBorder="1" applyAlignment="1" applyProtection="1">
      <alignment vertical="center"/>
      <protection/>
    </xf>
    <xf numFmtId="0" fontId="5" fillId="34" borderId="0" xfId="94" applyFont="1" applyFill="1" applyAlignment="1" applyProtection="1">
      <alignment horizontal="left" vertical="center"/>
      <protection/>
    </xf>
    <xf numFmtId="0" fontId="5" fillId="34" borderId="0" xfId="94" applyFont="1" applyFill="1" applyAlignment="1" applyProtection="1" quotePrefix="1">
      <alignment vertical="center"/>
      <protection/>
    </xf>
    <xf numFmtId="10" fontId="5" fillId="34" borderId="0" xfId="94" applyNumberFormat="1" applyFont="1" applyFill="1" applyBorder="1" applyAlignment="1" applyProtection="1">
      <alignment vertical="center"/>
      <protection/>
    </xf>
    <xf numFmtId="0" fontId="7" fillId="34" borderId="0" xfId="94" applyFont="1" applyFill="1" applyAlignment="1" applyProtection="1">
      <alignment horizontal="left" vertical="center"/>
      <protection/>
    </xf>
    <xf numFmtId="37" fontId="5" fillId="44" borderId="10" xfId="94" applyNumberFormat="1" applyFont="1" applyFill="1" applyBorder="1" applyAlignment="1" applyProtection="1">
      <alignment horizontal="left" vertical="center"/>
      <protection/>
    </xf>
    <xf numFmtId="0" fontId="5" fillId="0" borderId="0" xfId="94" applyFont="1" applyAlignment="1">
      <alignment vertical="center"/>
      <protection/>
    </xf>
    <xf numFmtId="195" fontId="38" fillId="41" borderId="0" xfId="0" applyNumberFormat="1" applyFont="1" applyFill="1" applyBorder="1" applyAlignment="1">
      <alignment horizontal="center"/>
    </xf>
    <xf numFmtId="37" fontId="5" fillId="33" borderId="0" xfId="0" applyNumberFormat="1" applyFont="1" applyFill="1" applyAlignment="1" applyProtection="1">
      <alignment horizontal="center" vertical="center"/>
      <protection locked="0"/>
    </xf>
    <xf numFmtId="0" fontId="5" fillId="33" borderId="0" xfId="0" applyFont="1" applyFill="1" applyAlignment="1" applyProtection="1">
      <alignment horizontal="center" vertical="center"/>
      <protection locked="0"/>
    </xf>
    <xf numFmtId="195" fontId="38" fillId="41" borderId="0" xfId="0" applyNumberFormat="1" applyFont="1" applyFill="1" applyAlignment="1">
      <alignment horizontal="center"/>
    </xf>
    <xf numFmtId="195" fontId="38" fillId="41" borderId="13" xfId="0" applyNumberFormat="1" applyFont="1" applyFill="1" applyBorder="1" applyAlignment="1">
      <alignment horizontal="center"/>
    </xf>
    <xf numFmtId="195" fontId="38" fillId="41" borderId="0" xfId="0" applyNumberFormat="1" applyFont="1" applyFill="1" applyAlignment="1">
      <alignment/>
    </xf>
    <xf numFmtId="0" fontId="5" fillId="47" borderId="16" xfId="0"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37" fontId="4" fillId="37" borderId="19" xfId="0" applyNumberFormat="1" applyFont="1" applyFill="1" applyBorder="1" applyAlignment="1" applyProtection="1">
      <alignment horizontal="left" vertical="center"/>
      <protection/>
    </xf>
    <xf numFmtId="0" fontId="5" fillId="37" borderId="17" xfId="0" applyFont="1" applyFill="1" applyBorder="1" applyAlignment="1" applyProtection="1">
      <alignment vertical="center"/>
      <protection/>
    </xf>
    <xf numFmtId="37" fontId="5" fillId="37" borderId="11" xfId="0" applyNumberFormat="1" applyFont="1" applyFill="1" applyBorder="1" applyAlignment="1" applyProtection="1">
      <alignment horizontal="center" vertical="center"/>
      <protection/>
    </xf>
    <xf numFmtId="0" fontId="5" fillId="37" borderId="12" xfId="0" applyFont="1" applyFill="1" applyBorder="1" applyAlignment="1">
      <alignment horizontal="center" vertical="center"/>
    </xf>
    <xf numFmtId="37" fontId="5" fillId="37" borderId="19" xfId="0" applyNumberFormat="1" applyFont="1" applyFill="1" applyBorder="1" applyAlignment="1" applyProtection="1">
      <alignment horizontal="left" vertical="center"/>
      <protection/>
    </xf>
    <xf numFmtId="37" fontId="5" fillId="37" borderId="21" xfId="0" applyNumberFormat="1" applyFont="1" applyFill="1" applyBorder="1" applyAlignment="1" applyProtection="1">
      <alignment horizontal="left" vertical="center"/>
      <protection/>
    </xf>
    <xf numFmtId="0" fontId="5" fillId="37" borderId="22" xfId="0" applyFont="1" applyFill="1" applyBorder="1" applyAlignment="1" applyProtection="1">
      <alignment vertical="center"/>
      <protection/>
    </xf>
    <xf numFmtId="0" fontId="5" fillId="37" borderId="21" xfId="0" applyFont="1" applyFill="1" applyBorder="1" applyAlignment="1" applyProtection="1">
      <alignment vertical="center"/>
      <protection/>
    </xf>
    <xf numFmtId="0" fontId="5" fillId="37" borderId="16" xfId="0" applyFont="1" applyFill="1" applyBorder="1" applyAlignment="1" applyProtection="1">
      <alignment vertical="center"/>
      <protection/>
    </xf>
    <xf numFmtId="0" fontId="5" fillId="37" borderId="19" xfId="0" applyFont="1" applyFill="1" applyBorder="1" applyAlignment="1" applyProtection="1">
      <alignment vertical="center"/>
      <protection/>
    </xf>
    <xf numFmtId="37" fontId="4" fillId="47" borderId="19" xfId="0" applyNumberFormat="1" applyFont="1" applyFill="1" applyBorder="1" applyAlignment="1" applyProtection="1">
      <alignment horizontal="left" vertical="center"/>
      <protection/>
    </xf>
    <xf numFmtId="0" fontId="5" fillId="47" borderId="14" xfId="0" applyFont="1" applyFill="1" applyBorder="1" applyAlignment="1" applyProtection="1">
      <alignment vertical="center"/>
      <protection/>
    </xf>
    <xf numFmtId="0" fontId="5" fillId="47" borderId="17" xfId="0" applyFont="1" applyFill="1" applyBorder="1" applyAlignment="1" applyProtection="1">
      <alignment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0" fontId="4" fillId="37" borderId="19" xfId="0" applyFont="1" applyFill="1" applyBorder="1" applyAlignment="1">
      <alignment vertical="center"/>
    </xf>
    <xf numFmtId="0" fontId="1" fillId="37" borderId="14" xfId="0" applyFont="1" applyFill="1" applyBorder="1" applyAlignment="1">
      <alignment vertical="center"/>
    </xf>
    <xf numFmtId="0" fontId="0" fillId="37" borderId="14" xfId="0" applyFill="1" applyBorder="1" applyAlignment="1" applyProtection="1">
      <alignment vertical="center"/>
      <protection locked="0"/>
    </xf>
    <xf numFmtId="0" fontId="0" fillId="37" borderId="17" xfId="0" applyFill="1" applyBorder="1" applyAlignment="1" applyProtection="1">
      <alignment vertical="center"/>
      <protection locked="0"/>
    </xf>
    <xf numFmtId="195" fontId="5" fillId="44" borderId="16" xfId="124" applyNumberFormat="1" applyFont="1" applyFill="1" applyBorder="1" applyAlignment="1" applyProtection="1">
      <alignment horizontal="center"/>
      <protection/>
    </xf>
    <xf numFmtId="37" fontId="4" fillId="34" borderId="0" xfId="94" applyNumberFormat="1" applyFont="1" applyFill="1" applyAlignment="1" applyProtection="1">
      <alignment horizontal="left" vertical="center"/>
      <protection/>
    </xf>
    <xf numFmtId="37" fontId="5" fillId="34" borderId="0" xfId="94" applyNumberFormat="1" applyFont="1" applyFill="1" applyAlignment="1" applyProtection="1">
      <alignment horizontal="left" vertical="center"/>
      <protection/>
    </xf>
    <xf numFmtId="37" fontId="4" fillId="47" borderId="21" xfId="0" applyNumberFormat="1" applyFont="1" applyFill="1" applyBorder="1" applyAlignment="1" applyProtection="1">
      <alignment horizontal="left" vertical="center"/>
      <protection/>
    </xf>
    <xf numFmtId="0" fontId="5" fillId="47" borderId="25" xfId="0" applyFont="1" applyFill="1" applyBorder="1" applyAlignment="1" applyProtection="1">
      <alignment vertical="center"/>
      <protection/>
    </xf>
    <xf numFmtId="37" fontId="4" fillId="47" borderId="15" xfId="0" applyNumberFormat="1" applyFont="1" applyFill="1" applyBorder="1" applyAlignment="1" applyProtection="1">
      <alignment horizontal="left" vertical="center"/>
      <protection/>
    </xf>
    <xf numFmtId="0" fontId="5" fillId="37" borderId="23" xfId="0" applyFont="1" applyFill="1" applyBorder="1" applyAlignment="1" applyProtection="1">
      <alignment vertical="center"/>
      <protection/>
    </xf>
    <xf numFmtId="0" fontId="4" fillId="37" borderId="22" xfId="0" applyFont="1" applyFill="1" applyBorder="1" applyAlignment="1" applyProtection="1">
      <alignment vertical="center"/>
      <protection/>
    </xf>
    <xf numFmtId="3" fontId="5" fillId="37" borderId="17" xfId="0" applyNumberFormat="1" applyFont="1" applyFill="1" applyBorder="1" applyAlignment="1" applyProtection="1">
      <alignment vertical="center"/>
      <protection/>
    </xf>
    <xf numFmtId="0" fontId="5" fillId="41" borderId="0" xfId="94" applyFont="1" applyFill="1" applyAlignment="1" applyProtection="1">
      <alignment vertical="center"/>
      <protection/>
    </xf>
    <xf numFmtId="37" fontId="5" fillId="34" borderId="18" xfId="0" applyNumberFormat="1" applyFont="1" applyFill="1" applyBorder="1" applyAlignment="1" applyProtection="1">
      <alignment horizontal="center" vertical="center"/>
      <protection/>
    </xf>
    <xf numFmtId="165" fontId="5" fillId="41" borderId="13" xfId="0" applyNumberFormat="1" applyFont="1" applyFill="1" applyBorder="1" applyAlignment="1" applyProtection="1">
      <alignment vertical="center"/>
      <protection/>
    </xf>
    <xf numFmtId="165" fontId="5" fillId="41" borderId="0" xfId="0" applyNumberFormat="1" applyFont="1" applyFill="1" applyBorder="1" applyAlignment="1" applyProtection="1">
      <alignment vertical="center"/>
      <protection/>
    </xf>
    <xf numFmtId="0" fontId="5" fillId="41" borderId="0" xfId="94" applyFont="1" applyFill="1" applyAlignment="1" applyProtection="1">
      <alignment vertical="center"/>
      <protection locked="0"/>
    </xf>
    <xf numFmtId="0" fontId="5" fillId="41" borderId="0" xfId="0" applyFont="1" applyFill="1" applyBorder="1" applyAlignment="1" applyProtection="1">
      <alignment vertical="center"/>
      <protection/>
    </xf>
    <xf numFmtId="0" fontId="5" fillId="41" borderId="0" xfId="0" applyFont="1" applyFill="1" applyAlignment="1" applyProtection="1">
      <alignment vertical="center"/>
      <protection/>
    </xf>
    <xf numFmtId="37" fontId="5" fillId="41" borderId="0" xfId="0" applyNumberFormat="1" applyFont="1" applyFill="1" applyBorder="1" applyAlignment="1" applyProtection="1">
      <alignment horizontal="left" vertical="center"/>
      <protection/>
    </xf>
    <xf numFmtId="37" fontId="5" fillId="41" borderId="0" xfId="0" applyNumberFormat="1" applyFont="1" applyFill="1" applyBorder="1" applyAlignment="1" applyProtection="1">
      <alignment vertical="center"/>
      <protection/>
    </xf>
    <xf numFmtId="37" fontId="5" fillId="41" borderId="0" xfId="0" applyNumberFormat="1" applyFont="1" applyFill="1" applyAlignment="1" applyProtection="1">
      <alignment horizontal="left" vertical="center"/>
      <protection/>
    </xf>
    <xf numFmtId="37" fontId="5" fillId="34" borderId="12" xfId="94" applyNumberFormat="1" applyFont="1" applyFill="1" applyBorder="1" applyAlignment="1" applyProtection="1">
      <alignment horizontal="center" vertical="center"/>
      <protection/>
    </xf>
    <xf numFmtId="0" fontId="5" fillId="34" borderId="19" xfId="0" applyNumberFormat="1" applyFont="1" applyFill="1" applyBorder="1" applyAlignment="1" applyProtection="1">
      <alignment horizontal="left" vertical="center"/>
      <protection/>
    </xf>
    <xf numFmtId="3" fontId="32" fillId="41" borderId="16" xfId="0" applyNumberFormat="1" applyFont="1" applyFill="1" applyBorder="1" applyAlignment="1" applyProtection="1">
      <alignment horizontal="right" vertical="center"/>
      <protection locked="0"/>
    </xf>
    <xf numFmtId="3" fontId="32" fillId="41" borderId="25" xfId="0" applyNumberFormat="1" applyFont="1" applyFill="1" applyBorder="1" applyAlignment="1" applyProtection="1">
      <alignment horizontal="right" vertical="center"/>
      <protection locked="0"/>
    </xf>
    <xf numFmtId="0" fontId="32" fillId="41" borderId="18" xfId="0" applyFont="1" applyFill="1" applyBorder="1" applyAlignment="1" applyProtection="1">
      <alignment horizontal="left" vertical="center"/>
      <protection locked="0"/>
    </xf>
    <xf numFmtId="0" fontId="34" fillId="41" borderId="18" xfId="0" applyFont="1" applyFill="1" applyBorder="1" applyAlignment="1">
      <alignment horizontal="left" vertical="center"/>
    </xf>
    <xf numFmtId="0" fontId="32" fillId="41" borderId="13" xfId="0" applyFont="1" applyFill="1" applyBorder="1" applyAlignment="1" applyProtection="1">
      <alignment horizontal="left" vertical="center"/>
      <protection locked="0"/>
    </xf>
    <xf numFmtId="0" fontId="32" fillId="41" borderId="21" xfId="0" applyFont="1" applyFill="1" applyBorder="1" applyAlignment="1" applyProtection="1">
      <alignment horizontal="left" vertical="center"/>
      <protection locked="0"/>
    </xf>
    <xf numFmtId="0" fontId="32" fillId="41" borderId="0" xfId="0" applyFont="1" applyFill="1" applyBorder="1" applyAlignment="1" applyProtection="1">
      <alignment horizontal="left" vertical="center"/>
      <protection locked="0"/>
    </xf>
    <xf numFmtId="0" fontId="32" fillId="41" borderId="15" xfId="0" applyFont="1" applyFill="1" applyBorder="1" applyAlignment="1" applyProtection="1">
      <alignment horizontal="left" vertical="center"/>
      <protection locked="0"/>
    </xf>
    <xf numFmtId="0" fontId="5" fillId="41" borderId="18" xfId="0" applyFont="1" applyFill="1" applyBorder="1" applyAlignment="1" applyProtection="1">
      <alignment horizontal="left" vertical="center"/>
      <protection locked="0"/>
    </xf>
    <xf numFmtId="0" fontId="4" fillId="41" borderId="18" xfId="0" applyFont="1" applyFill="1" applyBorder="1" applyAlignment="1">
      <alignment horizontal="left" vertical="center"/>
    </xf>
    <xf numFmtId="0" fontId="32" fillId="41" borderId="13" xfId="0" applyFont="1" applyFill="1" applyBorder="1" applyAlignment="1" applyProtection="1">
      <alignment vertical="center"/>
      <protection locked="0"/>
    </xf>
    <xf numFmtId="0" fontId="32" fillId="41" borderId="0" xfId="0" applyFont="1" applyFill="1" applyBorder="1" applyAlignment="1" applyProtection="1">
      <alignment vertical="center"/>
      <protection locked="0"/>
    </xf>
    <xf numFmtId="3" fontId="32" fillId="41" borderId="16" xfId="0" applyNumberFormat="1" applyFont="1" applyFill="1" applyBorder="1" applyAlignment="1" applyProtection="1">
      <alignment vertical="center"/>
      <protection locked="0"/>
    </xf>
    <xf numFmtId="0" fontId="32" fillId="41" borderId="21" xfId="0" applyFont="1" applyFill="1" applyBorder="1" applyAlignment="1" applyProtection="1">
      <alignment vertical="center"/>
      <protection locked="0"/>
    </xf>
    <xf numFmtId="3" fontId="32" fillId="41" borderId="25" xfId="0" applyNumberFormat="1" applyFont="1" applyFill="1" applyBorder="1" applyAlignment="1" applyProtection="1">
      <alignment vertical="center"/>
      <protection locked="0"/>
    </xf>
    <xf numFmtId="0" fontId="32" fillId="41" borderId="15" xfId="0" applyFont="1" applyFill="1" applyBorder="1" applyAlignment="1" applyProtection="1">
      <alignment vertical="center"/>
      <protection locked="0"/>
    </xf>
    <xf numFmtId="0" fontId="4" fillId="41" borderId="18" xfId="0" applyFont="1" applyFill="1" applyBorder="1" applyAlignment="1">
      <alignment horizontal="center" vertical="center"/>
    </xf>
    <xf numFmtId="0" fontId="5" fillId="41" borderId="18" xfId="0" applyFont="1" applyFill="1" applyBorder="1" applyAlignment="1" applyProtection="1">
      <alignment vertical="center"/>
      <protection locked="0"/>
    </xf>
    <xf numFmtId="0" fontId="34" fillId="41" borderId="22" xfId="94" applyFont="1" applyFill="1" applyBorder="1" applyAlignment="1">
      <alignment horizontal="left" vertical="center"/>
      <protection/>
    </xf>
    <xf numFmtId="0" fontId="5" fillId="41" borderId="0" xfId="0" applyFont="1" applyFill="1" applyBorder="1" applyAlignment="1" applyProtection="1">
      <alignment vertical="center"/>
      <protection locked="0"/>
    </xf>
    <xf numFmtId="0" fontId="32" fillId="41" borderId="21" xfId="94" applyFont="1" applyFill="1" applyBorder="1" applyAlignment="1">
      <alignment horizontal="left" vertical="center"/>
      <protection/>
    </xf>
    <xf numFmtId="0" fontId="32" fillId="41" borderId="15" xfId="94" applyFont="1" applyFill="1" applyBorder="1" applyAlignment="1">
      <alignment horizontal="left" vertical="center"/>
      <protection/>
    </xf>
    <xf numFmtId="0" fontId="6" fillId="0" borderId="0" xfId="0" applyFont="1" applyAlignment="1">
      <alignment/>
    </xf>
    <xf numFmtId="0" fontId="32" fillId="41" borderId="0" xfId="0" applyFont="1" applyFill="1" applyBorder="1" applyAlignment="1" applyProtection="1">
      <alignment horizontal="left" vertical="center"/>
      <protection/>
    </xf>
    <xf numFmtId="0" fontId="33" fillId="41" borderId="0" xfId="0" applyFont="1" applyFill="1" applyBorder="1" applyAlignment="1" applyProtection="1">
      <alignment horizontal="center" vertical="center"/>
      <protection/>
    </xf>
    <xf numFmtId="0" fontId="0" fillId="41" borderId="16" xfId="0" applyFill="1" applyBorder="1" applyAlignment="1" applyProtection="1">
      <alignment vertical="center"/>
      <protection/>
    </xf>
    <xf numFmtId="0" fontId="33" fillId="41" borderId="13" xfId="0" applyFont="1" applyFill="1" applyBorder="1" applyAlignment="1" applyProtection="1">
      <alignment horizontal="center" vertical="center"/>
      <protection/>
    </xf>
    <xf numFmtId="0" fontId="32" fillId="41" borderId="13" xfId="0" applyFont="1" applyFill="1" applyBorder="1" applyAlignment="1" applyProtection="1">
      <alignment horizontal="left" vertical="center"/>
      <protection/>
    </xf>
    <xf numFmtId="182" fontId="32" fillId="44" borderId="19" xfId="0" applyNumberFormat="1" applyFont="1" applyFill="1" applyBorder="1" applyAlignment="1" applyProtection="1">
      <alignment horizontal="center" vertical="center"/>
      <protection/>
    </xf>
    <xf numFmtId="182" fontId="32" fillId="41" borderId="19" xfId="0" applyNumberFormat="1" applyFont="1" applyFill="1" applyBorder="1" applyAlignment="1" applyProtection="1">
      <alignment horizontal="center" vertical="center"/>
      <protection/>
    </xf>
    <xf numFmtId="182" fontId="32" fillId="44" borderId="21" xfId="0" applyNumberFormat="1" applyFont="1" applyFill="1" applyBorder="1" applyAlignment="1" applyProtection="1">
      <alignment horizontal="center" vertical="center"/>
      <protection/>
    </xf>
    <xf numFmtId="0" fontId="0" fillId="41" borderId="25" xfId="0" applyFill="1" applyBorder="1" applyAlignment="1" applyProtection="1">
      <alignment vertical="center"/>
      <protection/>
    </xf>
    <xf numFmtId="182" fontId="32" fillId="41" borderId="15"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right" vertical="center"/>
      <protection/>
    </xf>
    <xf numFmtId="0" fontId="97" fillId="41" borderId="23" xfId="0" applyFont="1" applyFill="1" applyBorder="1" applyAlignment="1">
      <alignment horizontal="center" vertical="center"/>
    </xf>
    <xf numFmtId="0" fontId="4" fillId="41" borderId="18" xfId="0" applyFont="1" applyFill="1" applyBorder="1" applyAlignment="1">
      <alignment horizontal="centerContinuous" vertical="center"/>
    </xf>
    <xf numFmtId="0" fontId="5" fillId="41" borderId="19" xfId="94" applyFont="1" applyFill="1" applyBorder="1" applyAlignment="1" applyProtection="1">
      <alignment vertical="center"/>
      <protection/>
    </xf>
    <xf numFmtId="0" fontId="5" fillId="41" borderId="15" xfId="94" applyFont="1" applyFill="1" applyBorder="1" applyAlignment="1" applyProtection="1">
      <alignment vertical="center"/>
      <protection/>
    </xf>
    <xf numFmtId="0" fontId="5" fillId="41" borderId="0" xfId="94" applyFont="1" applyFill="1" applyBorder="1" applyAlignment="1" applyProtection="1">
      <alignment vertical="center"/>
      <protection/>
    </xf>
    <xf numFmtId="0" fontId="5" fillId="41" borderId="25" xfId="94" applyFont="1" applyFill="1" applyBorder="1" applyAlignment="1" applyProtection="1">
      <alignment vertical="center"/>
      <protection/>
    </xf>
    <xf numFmtId="194" fontId="32" fillId="41" borderId="15" xfId="94" applyNumberFormat="1" applyFont="1" applyFill="1" applyBorder="1" applyAlignment="1" applyProtection="1">
      <alignment horizontal="center" vertical="center"/>
      <protection/>
    </xf>
    <xf numFmtId="0" fontId="14" fillId="41" borderId="0" xfId="94" applyFont="1" applyFill="1" applyBorder="1" applyAlignment="1" applyProtection="1">
      <alignment vertical="center"/>
      <protection/>
    </xf>
    <xf numFmtId="194" fontId="32" fillId="41" borderId="21" xfId="94" applyNumberFormat="1" applyFont="1" applyFill="1" applyBorder="1" applyAlignment="1" applyProtection="1">
      <alignment horizontal="center" vertical="center"/>
      <protection/>
    </xf>
    <xf numFmtId="0" fontId="5" fillId="44" borderId="16" xfId="94" applyFont="1" applyFill="1" applyBorder="1" applyAlignment="1" applyProtection="1">
      <alignment vertical="center"/>
      <protection/>
    </xf>
    <xf numFmtId="0" fontId="32" fillId="41" borderId="0" xfId="94" applyFont="1" applyFill="1" applyBorder="1" applyAlignment="1" applyProtection="1">
      <alignment horizontal="left" vertical="center"/>
      <protection/>
    </xf>
    <xf numFmtId="0" fontId="32" fillId="41" borderId="0" xfId="94" applyFont="1" applyFill="1" applyBorder="1" applyAlignment="1" applyProtection="1">
      <alignment vertical="center"/>
      <protection/>
    </xf>
    <xf numFmtId="0" fontId="32" fillId="41" borderId="15" xfId="94" applyFont="1" applyFill="1" applyBorder="1" applyAlignment="1" applyProtection="1">
      <alignment vertical="center"/>
      <protection/>
    </xf>
    <xf numFmtId="194" fontId="32" fillId="41" borderId="25" xfId="94" applyNumberFormat="1" applyFont="1" applyFill="1" applyBorder="1" applyAlignment="1" applyProtection="1">
      <alignment horizontal="center" vertical="center"/>
      <protection/>
    </xf>
    <xf numFmtId="0" fontId="32" fillId="41" borderId="15" xfId="94" applyFont="1" applyFill="1" applyBorder="1" applyAlignment="1" applyProtection="1">
      <alignment horizontal="left" vertical="center"/>
      <protection/>
    </xf>
    <xf numFmtId="194" fontId="32" fillId="43" borderId="10" xfId="94" applyNumberFormat="1" applyFont="1" applyFill="1" applyBorder="1" applyAlignment="1" applyProtection="1">
      <alignment horizontal="center" vertical="center"/>
      <protection locked="0"/>
    </xf>
    <xf numFmtId="0" fontId="32" fillId="44" borderId="0" xfId="94" applyFont="1" applyFill="1" applyBorder="1" applyAlignment="1" applyProtection="1">
      <alignment vertical="center"/>
      <protection/>
    </xf>
    <xf numFmtId="0" fontId="5" fillId="44" borderId="0" xfId="94" applyFont="1" applyFill="1" applyBorder="1" applyAlignment="1" applyProtection="1">
      <alignment vertical="center"/>
      <protection/>
    </xf>
    <xf numFmtId="182" fontId="34" fillId="41" borderId="17" xfId="94" applyNumberFormat="1" applyFont="1" applyFill="1" applyBorder="1" applyAlignment="1" applyProtection="1">
      <alignment horizontal="center" vertical="center"/>
      <protection/>
    </xf>
    <xf numFmtId="0" fontId="32" fillId="41" borderId="25" xfId="94" applyFont="1" applyFill="1" applyBorder="1" applyAlignment="1" applyProtection="1">
      <alignment vertical="center"/>
      <protection/>
    </xf>
    <xf numFmtId="194" fontId="34" fillId="44" borderId="16" xfId="94" applyNumberFormat="1" applyFont="1" applyFill="1" applyBorder="1" applyAlignment="1" applyProtection="1">
      <alignment horizontal="center" vertical="center"/>
      <protection locked="0"/>
    </xf>
    <xf numFmtId="0" fontId="41" fillId="41" borderId="13" xfId="94" applyFont="1" applyFill="1" applyBorder="1" applyAlignment="1">
      <alignment horizontal="left" vertical="center"/>
      <protection/>
    </xf>
    <xf numFmtId="194" fontId="34" fillId="44" borderId="17" xfId="94" applyNumberFormat="1" applyFont="1" applyFill="1" applyBorder="1" applyAlignment="1" applyProtection="1">
      <alignment horizontal="center" vertical="center"/>
      <protection/>
    </xf>
    <xf numFmtId="0" fontId="34" fillId="44" borderId="15" xfId="94" applyFont="1" applyFill="1" applyBorder="1" applyAlignment="1" applyProtection="1">
      <alignment vertical="center"/>
      <protection/>
    </xf>
    <xf numFmtId="37" fontId="32" fillId="34" borderId="21" xfId="94" applyNumberFormat="1" applyFont="1" applyFill="1" applyBorder="1" applyAlignment="1" applyProtection="1">
      <alignment horizontal="left" vertical="center"/>
      <protection/>
    </xf>
    <xf numFmtId="0" fontId="32" fillId="41" borderId="0" xfId="94" applyFont="1" applyFill="1" applyBorder="1" applyAlignment="1">
      <alignment vertical="center"/>
      <protection/>
    </xf>
    <xf numFmtId="194" fontId="32" fillId="41" borderId="25" xfId="94" applyNumberFormat="1" applyFont="1" applyFill="1" applyBorder="1" applyAlignment="1">
      <alignment vertical="center"/>
      <protection/>
    </xf>
    <xf numFmtId="0" fontId="32" fillId="41" borderId="13" xfId="94" applyFont="1" applyFill="1" applyBorder="1" applyAlignment="1">
      <alignment vertical="center"/>
      <protection/>
    </xf>
    <xf numFmtId="194" fontId="32" fillId="41" borderId="16" xfId="94" applyNumberFormat="1" applyFont="1" applyFill="1" applyBorder="1" applyAlignment="1">
      <alignment vertical="center"/>
      <protection/>
    </xf>
    <xf numFmtId="3" fontId="5" fillId="38" borderId="10" xfId="0" applyNumberFormat="1" applyFont="1" applyFill="1" applyBorder="1" applyAlignment="1" applyProtection="1">
      <alignment horizontal="right" vertical="center"/>
      <protection/>
    </xf>
    <xf numFmtId="0" fontId="5" fillId="0" borderId="0" xfId="94" applyFont="1">
      <alignment/>
      <protection/>
    </xf>
    <xf numFmtId="0" fontId="6" fillId="0" borderId="0" xfId="94" applyFont="1">
      <alignment/>
      <protection/>
    </xf>
    <xf numFmtId="0" fontId="5" fillId="41" borderId="18" xfId="0" applyFont="1" applyFill="1" applyBorder="1" applyAlignment="1" applyProtection="1">
      <alignment vertical="center"/>
      <protection/>
    </xf>
    <xf numFmtId="37" fontId="5" fillId="41" borderId="18" xfId="0" applyNumberFormat="1" applyFont="1" applyFill="1" applyBorder="1" applyAlignment="1" applyProtection="1">
      <alignment vertical="center"/>
      <protection/>
    </xf>
    <xf numFmtId="0" fontId="0" fillId="41" borderId="18" xfId="0" applyFill="1" applyBorder="1" applyAlignment="1" applyProtection="1">
      <alignment vertical="center"/>
      <protection/>
    </xf>
    <xf numFmtId="0" fontId="17" fillId="41" borderId="18" xfId="0" applyFont="1" applyFill="1" applyBorder="1" applyAlignment="1" applyProtection="1">
      <alignment horizontal="center" vertical="center"/>
      <protection/>
    </xf>
    <xf numFmtId="37" fontId="5" fillId="41" borderId="23" xfId="0" applyNumberFormat="1" applyFont="1" applyFill="1" applyBorder="1" applyAlignment="1" applyProtection="1">
      <alignment horizontal="left" vertical="center"/>
      <protection/>
    </xf>
    <xf numFmtId="37" fontId="5" fillId="41" borderId="15" xfId="0" applyNumberFormat="1" applyFont="1" applyFill="1" applyBorder="1" applyAlignment="1" applyProtection="1">
      <alignment horizontal="left" vertical="center"/>
      <protection/>
    </xf>
    <xf numFmtId="37" fontId="5" fillId="41" borderId="25" xfId="0" applyNumberFormat="1" applyFont="1" applyFill="1" applyBorder="1" applyAlignment="1" applyProtection="1">
      <alignment horizontal="left" vertical="center"/>
      <protection/>
    </xf>
    <xf numFmtId="37" fontId="5" fillId="41" borderId="21" xfId="0" applyNumberFormat="1" applyFont="1" applyFill="1" applyBorder="1" applyAlignment="1" applyProtection="1">
      <alignment horizontal="left" vertical="center"/>
      <protection/>
    </xf>
    <xf numFmtId="0" fontId="5" fillId="41" borderId="13" xfId="0" applyFont="1" applyFill="1" applyBorder="1" applyAlignment="1" applyProtection="1">
      <alignment vertical="center"/>
      <protection/>
    </xf>
    <xf numFmtId="37" fontId="5" fillId="41" borderId="13" xfId="0" applyNumberFormat="1" applyFont="1" applyFill="1" applyBorder="1" applyAlignment="1" applyProtection="1">
      <alignment vertical="center"/>
      <protection/>
    </xf>
    <xf numFmtId="0" fontId="0" fillId="41" borderId="13" xfId="0" applyFill="1" applyBorder="1" applyAlignment="1" applyProtection="1">
      <alignment vertical="center"/>
      <protection/>
    </xf>
    <xf numFmtId="0" fontId="17" fillId="41" borderId="13" xfId="0" applyFont="1" applyFill="1" applyBorder="1" applyAlignment="1" applyProtection="1">
      <alignment horizontal="center" vertical="center"/>
      <protection/>
    </xf>
    <xf numFmtId="37" fontId="5" fillId="41" borderId="16" xfId="0" applyNumberFormat="1" applyFont="1" applyFill="1" applyBorder="1" applyAlignment="1" applyProtection="1">
      <alignment horizontal="left" vertical="center"/>
      <protection/>
    </xf>
    <xf numFmtId="182" fontId="5" fillId="41" borderId="23" xfId="0" applyNumberFormat="1" applyFont="1" applyFill="1" applyBorder="1" applyAlignment="1" applyProtection="1">
      <alignment horizontal="right" vertical="center"/>
      <protection locked="0"/>
    </xf>
    <xf numFmtId="182" fontId="5" fillId="41" borderId="25" xfId="0" applyNumberFormat="1" applyFont="1" applyFill="1" applyBorder="1" applyAlignment="1" applyProtection="1">
      <alignment horizontal="right" vertical="center"/>
      <protection locked="0"/>
    </xf>
    <xf numFmtId="0" fontId="5" fillId="34" borderId="13" xfId="0" applyNumberFormat="1" applyFont="1" applyFill="1" applyBorder="1" applyAlignment="1" applyProtection="1">
      <alignment horizontal="right" vertical="center"/>
      <protection/>
    </xf>
    <xf numFmtId="182" fontId="5" fillId="41" borderId="16" xfId="0" applyNumberFormat="1" applyFont="1" applyFill="1" applyBorder="1" applyAlignment="1" applyProtection="1">
      <alignment horizontal="right" vertical="center"/>
      <protection locked="0"/>
    </xf>
    <xf numFmtId="0" fontId="5" fillId="34" borderId="18" xfId="71" applyNumberFormat="1" applyFont="1" applyFill="1" applyBorder="1" applyAlignment="1" applyProtection="1">
      <alignment horizontal="right" vertical="center"/>
      <protection/>
    </xf>
    <xf numFmtId="0" fontId="5" fillId="34" borderId="23" xfId="0" applyFont="1" applyFill="1" applyBorder="1" applyAlignment="1" applyProtection="1">
      <alignment vertical="center"/>
      <protection/>
    </xf>
    <xf numFmtId="0" fontId="5" fillId="34" borderId="13" xfId="71" applyNumberFormat="1" applyFont="1" applyFill="1" applyBorder="1" applyAlignment="1" applyProtection="1">
      <alignment horizontal="right" vertical="center"/>
      <protection/>
    </xf>
    <xf numFmtId="37" fontId="5" fillId="34" borderId="23" xfId="0" applyNumberFormat="1" applyFont="1" applyFill="1" applyBorder="1" applyAlignment="1" applyProtection="1">
      <alignment horizontal="right" vertical="center"/>
      <protection/>
    </xf>
    <xf numFmtId="37" fontId="5" fillId="34" borderId="15" xfId="0" applyNumberFormat="1" applyFont="1" applyFill="1" applyBorder="1" applyAlignment="1" applyProtection="1">
      <alignment horizontal="right" vertical="center"/>
      <protection/>
    </xf>
    <xf numFmtId="37" fontId="5" fillId="34" borderId="21" xfId="0" applyNumberFormat="1" applyFont="1" applyFill="1" applyBorder="1" applyAlignment="1" applyProtection="1">
      <alignment horizontal="right" vertical="center"/>
      <protection/>
    </xf>
    <xf numFmtId="37" fontId="5" fillId="34" borderId="13" xfId="0" applyNumberFormat="1" applyFont="1" applyFill="1" applyBorder="1" applyAlignment="1" applyProtection="1">
      <alignment horizontal="right" vertical="center"/>
      <protection/>
    </xf>
    <xf numFmtId="37" fontId="5" fillId="34" borderId="16" xfId="0" applyNumberFormat="1" applyFont="1" applyFill="1" applyBorder="1" applyAlignment="1" applyProtection="1">
      <alignment horizontal="right" vertical="center"/>
      <protection/>
    </xf>
    <xf numFmtId="0" fontId="15" fillId="34" borderId="18" xfId="0" applyFont="1" applyFill="1" applyBorder="1" applyAlignment="1" applyProtection="1">
      <alignment horizontal="center" vertical="center"/>
      <protection/>
    </xf>
    <xf numFmtId="37" fontId="15" fillId="34" borderId="23" xfId="0" applyNumberFormat="1" applyFont="1" applyFill="1" applyBorder="1" applyAlignment="1" applyProtection="1">
      <alignment horizontal="center" vertical="center"/>
      <protection/>
    </xf>
    <xf numFmtId="0" fontId="5" fillId="34" borderId="15" xfId="0" applyFont="1" applyFill="1" applyBorder="1" applyAlignment="1" applyProtection="1">
      <alignment horizontal="right" vertical="center"/>
      <protection/>
    </xf>
    <xf numFmtId="0" fontId="15" fillId="34" borderId="0" xfId="0" applyFont="1" applyFill="1" applyBorder="1" applyAlignment="1" applyProtection="1">
      <alignment horizontal="center" vertical="center"/>
      <protection/>
    </xf>
    <xf numFmtId="0" fontId="5" fillId="34" borderId="21" xfId="0" applyFont="1" applyFill="1" applyBorder="1" applyAlignment="1" applyProtection="1">
      <alignment horizontal="right" vertical="center"/>
      <protection/>
    </xf>
    <xf numFmtId="0" fontId="15" fillId="34" borderId="13" xfId="0" applyFont="1" applyFill="1" applyBorder="1" applyAlignment="1" applyProtection="1">
      <alignment horizontal="center" vertical="center"/>
      <protection/>
    </xf>
    <xf numFmtId="3" fontId="5" fillId="34" borderId="23" xfId="0" applyNumberFormat="1" applyFont="1" applyFill="1" applyBorder="1" applyAlignment="1" applyProtection="1">
      <alignment vertical="center"/>
      <protection/>
    </xf>
    <xf numFmtId="3" fontId="5" fillId="34" borderId="25" xfId="0" applyNumberFormat="1" applyFont="1" applyFill="1" applyBorder="1" applyAlignment="1" applyProtection="1">
      <alignment vertical="center"/>
      <protection/>
    </xf>
    <xf numFmtId="37" fontId="5" fillId="34" borderId="23" xfId="0" applyNumberFormat="1" applyFont="1" applyFill="1" applyBorder="1" applyAlignment="1" applyProtection="1">
      <alignment vertical="center"/>
      <protection/>
    </xf>
    <xf numFmtId="37" fontId="5" fillId="34" borderId="25" xfId="0" applyNumberFormat="1" applyFont="1" applyFill="1" applyBorder="1" applyAlignment="1" applyProtection="1">
      <alignment vertical="center"/>
      <protection/>
    </xf>
    <xf numFmtId="37" fontId="5" fillId="34" borderId="16" xfId="0" applyNumberFormat="1" applyFont="1" applyFill="1" applyBorder="1" applyAlignment="1" applyProtection="1">
      <alignment vertical="center"/>
      <protection/>
    </xf>
    <xf numFmtId="0" fontId="0" fillId="34" borderId="25" xfId="0" applyFill="1" applyBorder="1" applyAlignment="1">
      <alignment vertical="center"/>
    </xf>
    <xf numFmtId="3" fontId="5" fillId="34" borderId="18" xfId="0" applyNumberFormat="1" applyFont="1" applyFill="1" applyBorder="1" applyAlignment="1">
      <alignment vertical="center"/>
    </xf>
    <xf numFmtId="0" fontId="5" fillId="34" borderId="18" xfId="0" applyFont="1" applyFill="1" applyBorder="1" applyAlignment="1">
      <alignment vertical="center"/>
    </xf>
    <xf numFmtId="0" fontId="5" fillId="34" borderId="18" xfId="0" applyFont="1" applyFill="1" applyBorder="1" applyAlignment="1">
      <alignment horizontal="center" vertical="center"/>
    </xf>
    <xf numFmtId="0" fontId="5" fillId="34" borderId="23" xfId="0" applyFont="1" applyFill="1" applyBorder="1" applyAlignment="1">
      <alignment vertical="center"/>
    </xf>
    <xf numFmtId="0" fontId="5" fillId="34" borderId="15" xfId="0" applyFont="1" applyFill="1" applyBorder="1" applyAlignment="1">
      <alignment vertical="center"/>
    </xf>
    <xf numFmtId="3" fontId="5" fillId="34" borderId="0" xfId="0" applyNumberFormat="1" applyFont="1" applyFill="1" applyBorder="1" applyAlignment="1">
      <alignment vertical="center"/>
    </xf>
    <xf numFmtId="0" fontId="5" fillId="34" borderId="0" xfId="0" applyFont="1" applyFill="1" applyBorder="1" applyAlignment="1">
      <alignment vertical="center"/>
    </xf>
    <xf numFmtId="0" fontId="5" fillId="34" borderId="0" xfId="0" applyFont="1" applyFill="1" applyBorder="1" applyAlignment="1">
      <alignment horizontal="center" vertical="center"/>
    </xf>
    <xf numFmtId="0" fontId="5" fillId="34" borderId="25" xfId="0" applyFont="1" applyFill="1" applyBorder="1" applyAlignment="1">
      <alignment vertical="center"/>
    </xf>
    <xf numFmtId="0" fontId="5" fillId="34" borderId="21" xfId="0" applyFont="1" applyFill="1" applyBorder="1" applyAlignment="1">
      <alignment vertical="center"/>
    </xf>
    <xf numFmtId="3" fontId="5" fillId="34" borderId="13" xfId="0" applyNumberFormat="1" applyFont="1" applyFill="1" applyBorder="1" applyAlignment="1">
      <alignment vertical="center"/>
    </xf>
    <xf numFmtId="0" fontId="5" fillId="34" borderId="16" xfId="0" applyFont="1" applyFill="1" applyBorder="1" applyAlignment="1">
      <alignment vertical="center"/>
    </xf>
    <xf numFmtId="10" fontId="4" fillId="33" borderId="10" xfId="0" applyNumberFormat="1" applyFont="1" applyFill="1" applyBorder="1" applyAlignment="1" applyProtection="1">
      <alignment horizontal="center" vertical="center"/>
      <protection locked="0"/>
    </xf>
    <xf numFmtId="37" fontId="4" fillId="41" borderId="0" xfId="0" applyNumberFormat="1" applyFont="1" applyFill="1" applyBorder="1" applyAlignment="1" applyProtection="1">
      <alignment horizontal="left"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quotePrefix="1">
      <alignment horizontal="left" vertical="center"/>
      <protection/>
    </xf>
    <xf numFmtId="3" fontId="5" fillId="48" borderId="14" xfId="0" applyNumberFormat="1" applyFont="1" applyFill="1" applyBorder="1" applyAlignment="1" applyProtection="1">
      <alignment vertical="center"/>
      <protection locked="0"/>
    </xf>
    <xf numFmtId="0" fontId="5" fillId="34" borderId="0" xfId="0" applyFont="1" applyFill="1" applyAlignment="1" applyProtection="1" quotePrefix="1">
      <alignment horizontal="left" vertical="top"/>
      <protection/>
    </xf>
    <xf numFmtId="3" fontId="5" fillId="48" borderId="13" xfId="0" applyNumberFormat="1" applyFont="1" applyFill="1" applyBorder="1" applyAlignment="1" applyProtection="1">
      <alignment vertical="center"/>
      <protection/>
    </xf>
    <xf numFmtId="0" fontId="5" fillId="34" borderId="0" xfId="0" applyFont="1" applyFill="1" applyAlignment="1" applyProtection="1" quotePrefix="1">
      <alignment horizontal="left"/>
      <protection/>
    </xf>
    <xf numFmtId="200" fontId="5" fillId="34" borderId="13" xfId="0" applyNumberFormat="1" applyFont="1" applyFill="1" applyBorder="1" applyAlignment="1" applyProtection="1">
      <alignment vertical="center"/>
      <protection/>
    </xf>
    <xf numFmtId="0" fontId="5" fillId="34" borderId="0" xfId="94" applyFont="1" applyFill="1" applyAlignment="1" applyProtection="1" quotePrefix="1">
      <alignment horizontal="left"/>
      <protection/>
    </xf>
    <xf numFmtId="10" fontId="5" fillId="34" borderId="13" xfId="94" applyNumberFormat="1" applyFont="1" applyFill="1" applyBorder="1" applyAlignment="1" applyProtection="1">
      <alignment vertical="center"/>
      <protection/>
    </xf>
    <xf numFmtId="0" fontId="4" fillId="34" borderId="0" xfId="94" applyFont="1" applyFill="1" applyAlignment="1" applyProtection="1" quotePrefix="1">
      <alignment vertical="center"/>
      <protection/>
    </xf>
    <xf numFmtId="0" fontId="4" fillId="41" borderId="0" xfId="94" applyFont="1" applyFill="1" applyAlignment="1" applyProtection="1">
      <alignment vertical="center"/>
      <protection/>
    </xf>
    <xf numFmtId="3" fontId="4" fillId="41" borderId="14" xfId="94" applyNumberFormat="1" applyFont="1" applyFill="1" applyBorder="1" applyAlignment="1" applyProtection="1">
      <alignment vertical="center"/>
      <protection/>
    </xf>
    <xf numFmtId="0" fontId="5" fillId="34" borderId="0" xfId="94" applyFont="1" applyFill="1" applyAlignment="1" applyProtection="1">
      <alignment horizontal="centerContinuous" vertical="center" wrapText="1"/>
      <protection/>
    </xf>
    <xf numFmtId="0" fontId="5" fillId="0" borderId="0" xfId="0" applyFont="1" applyAlignment="1">
      <alignment horizontal="right" vertical="center"/>
    </xf>
    <xf numFmtId="0" fontId="5" fillId="32" borderId="0" xfId="0" applyFont="1" applyFill="1" applyAlignment="1" applyProtection="1">
      <alignment horizontal="left" vertical="center"/>
      <protection/>
    </xf>
    <xf numFmtId="0" fontId="5" fillId="32" borderId="0" xfId="0" applyFont="1" applyFill="1" applyAlignment="1" applyProtection="1">
      <alignment vertical="center"/>
      <protection/>
    </xf>
    <xf numFmtId="37" fontId="5" fillId="32" borderId="0" xfId="0" applyNumberFormat="1" applyFont="1" applyFill="1" applyAlignment="1" applyProtection="1">
      <alignment vertical="center"/>
      <protection/>
    </xf>
    <xf numFmtId="1" fontId="5" fillId="32" borderId="0" xfId="0" applyNumberFormat="1" applyFont="1" applyFill="1" applyBorder="1" applyAlignment="1" applyProtection="1">
      <alignment horizontal="left" vertical="center"/>
      <protection/>
    </xf>
    <xf numFmtId="3" fontId="5" fillId="32" borderId="0" xfId="0" applyNumberFormat="1" applyFont="1" applyFill="1" applyAlignment="1" applyProtection="1">
      <alignment vertical="center"/>
      <protection/>
    </xf>
    <xf numFmtId="0" fontId="5" fillId="32" borderId="0" xfId="0" applyFont="1" applyFill="1" applyAlignment="1" applyProtection="1" quotePrefix="1">
      <alignment horizontal="left" vertical="center"/>
      <protection/>
    </xf>
    <xf numFmtId="3" fontId="5" fillId="32" borderId="0" xfId="0" applyNumberFormat="1" applyFont="1" applyFill="1" applyAlignment="1" applyProtection="1" quotePrefix="1">
      <alignment vertical="center"/>
      <protection/>
    </xf>
    <xf numFmtId="3" fontId="5" fillId="32" borderId="0" xfId="0" applyNumberFormat="1" applyFont="1" applyFill="1" applyBorder="1" applyAlignment="1" applyProtection="1">
      <alignment vertical="center"/>
      <protection/>
    </xf>
    <xf numFmtId="3" fontId="5" fillId="32" borderId="13" xfId="0" applyNumberFormat="1" applyFont="1" applyFill="1" applyBorder="1" applyAlignment="1" applyProtection="1">
      <alignment vertical="center"/>
      <protection/>
    </xf>
    <xf numFmtId="3" fontId="5" fillId="32" borderId="14" xfId="0" applyNumberFormat="1" applyFont="1" applyFill="1" applyBorder="1" applyAlignment="1" applyProtection="1">
      <alignment vertical="center"/>
      <protection/>
    </xf>
    <xf numFmtId="0" fontId="5" fillId="32" borderId="0" xfId="0" applyFont="1" applyFill="1" applyAlignment="1" applyProtection="1" quotePrefix="1">
      <alignment vertical="center"/>
      <protection/>
    </xf>
    <xf numFmtId="3" fontId="5" fillId="32" borderId="0" xfId="0" applyNumberFormat="1" applyFont="1" applyFill="1" applyBorder="1" applyAlignment="1" applyProtection="1" quotePrefix="1">
      <alignment vertical="center"/>
      <protection/>
    </xf>
    <xf numFmtId="0" fontId="5" fillId="32" borderId="0" xfId="0" applyFont="1" applyFill="1" applyBorder="1" applyAlignment="1" applyProtection="1" quotePrefix="1">
      <alignment horizontal="left" vertical="center"/>
      <protection/>
    </xf>
    <xf numFmtId="0" fontId="5" fillId="32" borderId="0" xfId="0" applyFont="1" applyFill="1" applyBorder="1" applyAlignment="1" applyProtection="1">
      <alignment vertical="center"/>
      <protection/>
    </xf>
    <xf numFmtId="0" fontId="5" fillId="32" borderId="0" xfId="0" applyFont="1" applyFill="1" applyBorder="1" applyAlignment="1" applyProtection="1" quotePrefix="1">
      <alignment vertical="center"/>
      <protection/>
    </xf>
    <xf numFmtId="3" fontId="5" fillId="32" borderId="0" xfId="0" applyNumberFormat="1" applyFont="1" applyFill="1" applyBorder="1" applyAlignment="1" applyProtection="1">
      <alignment horizontal="center" vertical="center"/>
      <protection/>
    </xf>
    <xf numFmtId="3" fontId="5" fillId="32" borderId="0" xfId="0" applyNumberFormat="1" applyFont="1" applyFill="1" applyBorder="1" applyAlignment="1" applyProtection="1">
      <alignment horizontal="center"/>
      <protection/>
    </xf>
    <xf numFmtId="3" fontId="5" fillId="48" borderId="14" xfId="0" applyNumberFormat="1" applyFont="1" applyFill="1" applyBorder="1" applyAlignment="1" applyProtection="1">
      <alignment vertical="center"/>
      <protection/>
    </xf>
    <xf numFmtId="10" fontId="5" fillId="32" borderId="0" xfId="0" applyNumberFormat="1" applyFont="1" applyFill="1" applyBorder="1" applyAlignment="1" applyProtection="1">
      <alignment vertical="center"/>
      <protection/>
    </xf>
    <xf numFmtId="171" fontId="5" fillId="32" borderId="0" xfId="0" applyNumberFormat="1" applyFont="1" applyFill="1" applyBorder="1" applyAlignment="1" applyProtection="1">
      <alignment vertical="center"/>
      <protection/>
    </xf>
    <xf numFmtId="0" fontId="5" fillId="32" borderId="0" xfId="0" applyFont="1" applyFill="1" applyBorder="1" applyAlignment="1" applyProtection="1">
      <alignment horizontal="left" vertical="center"/>
      <protection/>
    </xf>
    <xf numFmtId="3" fontId="5" fillId="32" borderId="0" xfId="0" applyNumberFormat="1" applyFont="1" applyFill="1" applyBorder="1" applyAlignment="1" applyProtection="1">
      <alignment vertical="center"/>
      <protection locked="0"/>
    </xf>
    <xf numFmtId="0" fontId="5" fillId="32" borderId="0" xfId="94" applyFont="1" applyFill="1" applyBorder="1" applyAlignment="1" applyProtection="1" quotePrefix="1">
      <alignment horizontal="left" vertical="center"/>
      <protection/>
    </xf>
    <xf numFmtId="0" fontId="5" fillId="32" borderId="0" xfId="94" applyFont="1" applyFill="1" applyBorder="1" applyAlignment="1" applyProtection="1">
      <alignment vertical="center"/>
      <protection/>
    </xf>
    <xf numFmtId="10" fontId="5" fillId="32" borderId="0" xfId="94" applyNumberFormat="1" applyFont="1" applyFill="1" applyBorder="1" applyAlignment="1" applyProtection="1">
      <alignment vertical="center"/>
      <protection/>
    </xf>
    <xf numFmtId="0" fontId="5" fillId="32" borderId="0" xfId="94" applyFont="1" applyFill="1" applyBorder="1" applyAlignment="1" applyProtection="1">
      <alignment horizontal="left" vertical="center"/>
      <protection/>
    </xf>
    <xf numFmtId="3" fontId="5" fillId="32" borderId="0" xfId="94" applyNumberFormat="1" applyFont="1" applyFill="1" applyBorder="1" applyAlignment="1" applyProtection="1">
      <alignment vertical="center"/>
      <protection/>
    </xf>
    <xf numFmtId="0" fontId="4" fillId="32" borderId="0" xfId="94" applyFont="1" applyFill="1" applyAlignment="1" applyProtection="1" quotePrefix="1">
      <alignment vertical="center"/>
      <protection/>
    </xf>
    <xf numFmtId="0" fontId="4" fillId="32" borderId="0" xfId="94" applyFont="1" applyFill="1" applyAlignment="1" applyProtection="1">
      <alignment vertical="center"/>
      <protection/>
    </xf>
    <xf numFmtId="3" fontId="4" fillId="32" borderId="14" xfId="94" applyNumberFormat="1" applyFont="1" applyFill="1" applyBorder="1" applyAlignment="1" applyProtection="1">
      <alignment vertical="center"/>
      <protection/>
    </xf>
    <xf numFmtId="0" fontId="7" fillId="32" borderId="0" xfId="94" applyFont="1" applyFill="1" applyBorder="1" applyAlignment="1" applyProtection="1">
      <alignment horizontal="center" vertical="center"/>
      <protection/>
    </xf>
    <xf numFmtId="0" fontId="7" fillId="32" borderId="0" xfId="94" applyFont="1" applyFill="1" applyAlignment="1" applyProtection="1">
      <alignment horizontal="left" vertical="center"/>
      <protection/>
    </xf>
    <xf numFmtId="0" fontId="7" fillId="32" borderId="0" xfId="94" applyFont="1" applyFill="1" applyAlignment="1" applyProtection="1">
      <alignment horizontal="center" vertical="center"/>
      <protection/>
    </xf>
    <xf numFmtId="0" fontId="5" fillId="32" borderId="0" xfId="94" applyFont="1" applyFill="1" applyAlignment="1" applyProtection="1">
      <alignment horizontal="left" vertical="center"/>
      <protection/>
    </xf>
    <xf numFmtId="0" fontId="7" fillId="32" borderId="0" xfId="94" applyFont="1" applyFill="1" applyAlignment="1" applyProtection="1">
      <alignment horizontal="right" vertical="center"/>
      <protection/>
    </xf>
    <xf numFmtId="0" fontId="5" fillId="32" borderId="0" xfId="94" applyFont="1" applyFill="1" applyAlignment="1" applyProtection="1">
      <alignment horizontal="right" vertical="center"/>
      <protection/>
    </xf>
    <xf numFmtId="0" fontId="5" fillId="0" borderId="0" xfId="94" applyFont="1" applyFill="1" applyAlignment="1" applyProtection="1">
      <alignment horizontal="left" vertical="center" wrapText="1"/>
      <protection/>
    </xf>
    <xf numFmtId="0" fontId="5" fillId="0" borderId="0" xfId="94" applyFont="1" applyFill="1" applyAlignment="1" applyProtection="1">
      <alignment horizontal="centerContinuous" vertical="center" wrapText="1"/>
      <protection/>
    </xf>
    <xf numFmtId="0" fontId="0" fillId="0" borderId="0" xfId="0" applyAlignment="1">
      <alignment horizontal="left"/>
    </xf>
    <xf numFmtId="1" fontId="5" fillId="32" borderId="0" xfId="0" applyNumberFormat="1" applyFont="1" applyFill="1" applyBorder="1" applyAlignment="1" applyProtection="1">
      <alignment horizontal="center" vertical="center"/>
      <protection/>
    </xf>
    <xf numFmtId="37" fontId="4" fillId="32" borderId="0" xfId="0" applyNumberFormat="1" applyFont="1" applyFill="1" applyAlignment="1" applyProtection="1">
      <alignment horizontal="center" vertical="center"/>
      <protection/>
    </xf>
    <xf numFmtId="0" fontId="4" fillId="32" borderId="0" xfId="0" applyFont="1" applyFill="1" applyAlignment="1" applyProtection="1">
      <alignment horizontal="centerContinuous" vertical="center"/>
      <protection/>
    </xf>
    <xf numFmtId="0" fontId="4" fillId="32" borderId="0" xfId="0" applyFont="1" applyFill="1" applyAlignment="1" applyProtection="1">
      <alignment horizontal="center" vertical="center"/>
      <protection/>
    </xf>
    <xf numFmtId="0" fontId="5" fillId="32" borderId="0" xfId="0" applyFont="1" applyFill="1" applyBorder="1" applyAlignment="1" applyProtection="1">
      <alignment horizontal="right" vertical="center"/>
      <protection/>
    </xf>
    <xf numFmtId="0" fontId="4" fillId="32" borderId="0" xfId="0" applyFont="1" applyFill="1" applyAlignment="1" applyProtection="1">
      <alignment horizontal="left" vertical="center"/>
      <protection/>
    </xf>
    <xf numFmtId="0" fontId="5" fillId="32" borderId="0" xfId="0" applyFont="1" applyFill="1" applyBorder="1" applyAlignment="1" applyProtection="1">
      <alignment horizontal="center" vertical="top"/>
      <protection/>
    </xf>
    <xf numFmtId="0" fontId="4" fillId="32" borderId="0" xfId="0"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wrapText="1"/>
      <protection/>
    </xf>
    <xf numFmtId="3" fontId="4" fillId="32" borderId="0" xfId="0" applyNumberFormat="1" applyFont="1" applyFill="1" applyBorder="1" applyAlignment="1" applyProtection="1">
      <alignment horizontal="left" vertical="center"/>
      <protection/>
    </xf>
    <xf numFmtId="3" fontId="5" fillId="32" borderId="0" xfId="0" applyNumberFormat="1" applyFont="1" applyFill="1" applyBorder="1" applyAlignment="1" applyProtection="1">
      <alignment/>
      <protection/>
    </xf>
    <xf numFmtId="0" fontId="4" fillId="32" borderId="0" xfId="0" applyFont="1" applyFill="1" applyBorder="1" applyAlignment="1" applyProtection="1" quotePrefix="1">
      <alignment horizontal="left" vertical="center"/>
      <protection/>
    </xf>
    <xf numFmtId="0" fontId="4" fillId="32" borderId="0" xfId="0" applyFont="1" applyFill="1" applyBorder="1" applyAlignment="1" applyProtection="1">
      <alignment vertical="center"/>
      <protection/>
    </xf>
    <xf numFmtId="3" fontId="4" fillId="32" borderId="0" xfId="0" applyNumberFormat="1" applyFont="1" applyFill="1" applyBorder="1" applyAlignment="1" applyProtection="1" quotePrefix="1">
      <alignment vertical="center"/>
      <protection/>
    </xf>
    <xf numFmtId="3" fontId="4" fillId="32" borderId="0" xfId="0" applyNumberFormat="1" applyFont="1" applyFill="1" applyBorder="1" applyAlignment="1" applyProtection="1">
      <alignment vertical="center"/>
      <protection/>
    </xf>
    <xf numFmtId="0" fontId="5" fillId="32" borderId="0" xfId="0" applyFont="1" applyFill="1" applyBorder="1" applyAlignment="1" applyProtection="1" quotePrefix="1">
      <alignment horizontal="right" vertical="center"/>
      <protection/>
    </xf>
    <xf numFmtId="3" fontId="4" fillId="32" borderId="14" xfId="0" applyNumberFormat="1" applyFont="1" applyFill="1" applyBorder="1" applyAlignment="1" applyProtection="1">
      <alignment vertical="center"/>
      <protection/>
    </xf>
    <xf numFmtId="3" fontId="5" fillId="48" borderId="0" xfId="0" applyNumberFormat="1" applyFont="1" applyFill="1" applyBorder="1" applyAlignment="1" applyProtection="1">
      <alignment vertical="center"/>
      <protection/>
    </xf>
    <xf numFmtId="3" fontId="4" fillId="32" borderId="0" xfId="0" applyNumberFormat="1" applyFont="1" applyFill="1" applyBorder="1" applyAlignment="1" applyProtection="1">
      <alignment horizontal="center" vertical="center"/>
      <protection/>
    </xf>
    <xf numFmtId="182" fontId="5" fillId="48" borderId="0" xfId="0" applyNumberFormat="1" applyFont="1" applyFill="1" applyBorder="1" applyAlignment="1" applyProtection="1">
      <alignment vertical="center"/>
      <protection/>
    </xf>
    <xf numFmtId="0" fontId="5" fillId="32" borderId="0" xfId="94" applyFont="1" applyFill="1" applyBorder="1" applyAlignment="1" applyProtection="1" quotePrefix="1">
      <alignment vertical="center"/>
      <protection/>
    </xf>
    <xf numFmtId="0" fontId="4" fillId="32" borderId="0" xfId="94" applyFont="1" applyFill="1" applyBorder="1" applyAlignment="1" applyProtection="1">
      <alignment vertical="center"/>
      <protection/>
    </xf>
    <xf numFmtId="3" fontId="4" fillId="32" borderId="0" xfId="94" applyNumberFormat="1" applyFont="1" applyFill="1" applyBorder="1" applyAlignment="1" applyProtection="1">
      <alignment vertical="center"/>
      <protection/>
    </xf>
    <xf numFmtId="0" fontId="4" fillId="32" borderId="0" xfId="94" applyFont="1" applyFill="1" applyBorder="1" applyAlignment="1" applyProtection="1" quotePrefix="1">
      <alignment vertical="center"/>
      <protection/>
    </xf>
    <xf numFmtId="0" fontId="7" fillId="0" borderId="0" xfId="94" applyFont="1" applyFill="1" applyAlignment="1" applyProtection="1">
      <alignment horizontal="center" vertical="center"/>
      <protection/>
    </xf>
    <xf numFmtId="0" fontId="7" fillId="0" borderId="0" xfId="94" applyFont="1" applyFill="1" applyAlignment="1" applyProtection="1">
      <alignment horizontal="left" vertical="center"/>
      <protection/>
    </xf>
    <xf numFmtId="0" fontId="5" fillId="0" borderId="0" xfId="94" applyFont="1" applyFill="1" applyAlignment="1" applyProtection="1">
      <alignment horizontal="left" vertical="center"/>
      <protection/>
    </xf>
    <xf numFmtId="3" fontId="5" fillId="0" borderId="0" xfId="94" applyNumberFormat="1" applyFont="1" applyFill="1" applyBorder="1" applyAlignment="1" applyProtection="1">
      <alignment vertical="center"/>
      <protection/>
    </xf>
    <xf numFmtId="0" fontId="0" fillId="0" borderId="0" xfId="0" applyFill="1" applyAlignment="1">
      <alignment/>
    </xf>
    <xf numFmtId="3" fontId="4" fillId="41" borderId="0" xfId="0" applyNumberFormat="1" applyFont="1" applyFill="1" applyBorder="1" applyAlignment="1" applyProtection="1">
      <alignment horizontal="center" vertical="center"/>
      <protection/>
    </xf>
    <xf numFmtId="0" fontId="1" fillId="41" borderId="0" xfId="0" applyFont="1" applyFill="1" applyBorder="1" applyAlignment="1" applyProtection="1">
      <alignment vertical="center"/>
      <protection/>
    </xf>
    <xf numFmtId="0" fontId="0" fillId="0" borderId="0" xfId="0" applyFill="1" applyBorder="1" applyAlignment="1" applyProtection="1">
      <alignment vertical="center"/>
      <protection/>
    </xf>
    <xf numFmtId="37" fontId="4" fillId="41" borderId="22" xfId="0" applyNumberFormat="1" applyFont="1" applyFill="1" applyBorder="1" applyAlignment="1" applyProtection="1">
      <alignment horizontal="left" vertical="center"/>
      <protection/>
    </xf>
    <xf numFmtId="0" fontId="4" fillId="34" borderId="22" xfId="0" applyFont="1" applyFill="1" applyBorder="1" applyAlignment="1" applyProtection="1">
      <alignment vertical="center"/>
      <protection/>
    </xf>
    <xf numFmtId="0" fontId="4" fillId="34" borderId="22" xfId="0" applyFont="1" applyFill="1" applyBorder="1" applyAlignment="1" applyProtection="1">
      <alignment horizontal="left" vertical="center"/>
      <protection/>
    </xf>
    <xf numFmtId="0" fontId="4" fillId="34" borderId="22" xfId="0" applyFont="1" applyFill="1" applyBorder="1" applyAlignment="1">
      <alignment vertical="center"/>
    </xf>
    <xf numFmtId="0" fontId="85" fillId="41" borderId="0" xfId="0" applyFont="1" applyFill="1" applyBorder="1" applyAlignment="1" applyProtection="1">
      <alignment horizontal="center" vertical="center"/>
      <protection/>
    </xf>
    <xf numFmtId="3" fontId="5" fillId="34" borderId="13" xfId="0" applyNumberFormat="1" applyFont="1" applyFill="1" applyBorder="1" applyAlignment="1" applyProtection="1">
      <alignment vertical="center"/>
      <protection locked="0"/>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3"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4" fillId="34" borderId="0" xfId="94" applyNumberFormat="1" applyFont="1" applyFill="1" applyAlignment="1" applyProtection="1">
      <alignment vertical="center" wrapText="1"/>
      <protection/>
    </xf>
    <xf numFmtId="0" fontId="5" fillId="34" borderId="22" xfId="94" applyFont="1" applyFill="1" applyBorder="1" applyAlignment="1" applyProtection="1">
      <alignment vertical="center" wrapText="1"/>
      <protection/>
    </xf>
    <xf numFmtId="0" fontId="0" fillId="0" borderId="23" xfId="94" applyBorder="1" applyAlignment="1">
      <alignment vertical="center" wrapText="1"/>
      <protection/>
    </xf>
    <xf numFmtId="0" fontId="0" fillId="0" borderId="15" xfId="94" applyBorder="1" applyAlignment="1">
      <alignment vertical="center" wrapText="1"/>
      <protection/>
    </xf>
    <xf numFmtId="0" fontId="0" fillId="0" borderId="25" xfId="94" applyBorder="1" applyAlignment="1">
      <alignment vertical="center" wrapText="1"/>
      <protection/>
    </xf>
    <xf numFmtId="0" fontId="0" fillId="0" borderId="21" xfId="94" applyBorder="1" applyAlignment="1">
      <alignment vertical="center" wrapText="1"/>
      <protection/>
    </xf>
    <xf numFmtId="0" fontId="0" fillId="0" borderId="16" xfId="94" applyBorder="1" applyAlignment="1">
      <alignment vertical="center" wrapText="1"/>
      <protection/>
    </xf>
    <xf numFmtId="0" fontId="17" fillId="34" borderId="0" xfId="0" applyFont="1" applyFill="1" applyBorder="1" applyAlignment="1">
      <alignment vertical="center"/>
    </xf>
    <xf numFmtId="0" fontId="20" fillId="0" borderId="0" xfId="0" applyFont="1" applyAlignment="1">
      <alignment vertical="center"/>
    </xf>
    <xf numFmtId="37" fontId="13"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19" xfId="0" applyFont="1" applyFill="1" applyBorder="1" applyAlignment="1">
      <alignment horizontal="center" vertical="center"/>
    </xf>
    <xf numFmtId="0" fontId="1" fillId="35" borderId="17" xfId="0" applyFont="1" applyFill="1" applyBorder="1" applyAlignment="1">
      <alignment horizontal="center" vertical="center"/>
    </xf>
    <xf numFmtId="0" fontId="5" fillId="0" borderId="0" xfId="550" applyFont="1" applyAlignment="1">
      <alignment horizontal="left" vertical="center" wrapText="1"/>
      <protection/>
    </xf>
    <xf numFmtId="0" fontId="29" fillId="0" borderId="0" xfId="550" applyAlignment="1">
      <alignment horizontal="left" vertical="center" wrapText="1"/>
      <protection/>
    </xf>
    <xf numFmtId="0" fontId="13" fillId="0" borderId="0" xfId="550" applyFont="1" applyAlignment="1">
      <alignment horizontal="left"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1" xfId="0" applyFont="1" applyFill="1" applyBorder="1" applyAlignment="1" applyProtection="1">
      <alignment horizontal="center" vertical="center" wrapText="1" shrinkToFit="1"/>
      <protection/>
    </xf>
    <xf numFmtId="0" fontId="0" fillId="0" borderId="12" xfId="0" applyBorder="1" applyAlignment="1">
      <alignment horizontal="center" vertical="center" wrapText="1"/>
    </xf>
    <xf numFmtId="0" fontId="4" fillId="32" borderId="0" xfId="0" applyFont="1" applyFill="1" applyAlignment="1" applyProtection="1">
      <alignment horizontal="center" vertical="center"/>
      <protection/>
    </xf>
    <xf numFmtId="0" fontId="5" fillId="34" borderId="0" xfId="95" applyFont="1" applyFill="1" applyAlignment="1">
      <alignment horizontal="center" vertical="center"/>
      <protection/>
    </xf>
    <xf numFmtId="0" fontId="5" fillId="34" borderId="0" xfId="94" applyFont="1" applyFill="1" applyAlignment="1" applyProtection="1">
      <alignment horizontal="center" vertical="center"/>
      <protection/>
    </xf>
    <xf numFmtId="0" fontId="5" fillId="32" borderId="0" xfId="94" applyFont="1" applyFill="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0" fillId="32" borderId="0" xfId="0" applyFill="1" applyBorder="1" applyAlignment="1">
      <alignment horizontal="center" vertical="center"/>
    </xf>
    <xf numFmtId="0" fontId="5" fillId="0" borderId="0" xfId="94" applyFont="1" applyFill="1" applyAlignment="1" applyProtection="1">
      <alignment horizontal="center" vertical="center"/>
      <protection/>
    </xf>
    <xf numFmtId="0" fontId="5" fillId="0" borderId="0" xfId="95" applyFont="1" applyFill="1" applyAlignment="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7" xfId="0" applyBorder="1" applyAlignment="1">
      <alignment horizontal="center" vertical="center"/>
    </xf>
    <xf numFmtId="37" fontId="4" fillId="34" borderId="0" xfId="94" applyNumberFormat="1" applyFont="1" applyFill="1" applyAlignment="1" applyProtection="1">
      <alignment horizontal="center" vertical="center"/>
      <protection/>
    </xf>
    <xf numFmtId="0" fontId="0" fillId="0" borderId="0" xfId="94" applyAlignment="1">
      <alignment horizontal="center" vertical="center"/>
      <protection/>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1" borderId="0" xfId="104" applyFont="1" applyFill="1" applyAlignment="1">
      <alignment horizontal="center" vertical="center"/>
      <protection/>
    </xf>
    <xf numFmtId="0" fontId="13" fillId="41" borderId="0" xfId="104" applyFont="1" applyFill="1" applyAlignment="1">
      <alignment horizontal="center" vertical="center"/>
      <protection/>
    </xf>
    <xf numFmtId="0" fontId="5" fillId="41" borderId="0" xfId="104" applyFont="1" applyFill="1" applyAlignment="1">
      <alignment vertical="center" wrapText="1"/>
      <protection/>
    </xf>
    <xf numFmtId="0" fontId="13" fillId="41" borderId="0" xfId="571" applyFont="1" applyFill="1" applyAlignment="1">
      <alignment horizontal="center"/>
      <protection/>
    </xf>
    <xf numFmtId="0" fontId="0" fillId="41" borderId="0" xfId="104" applyFill="1" applyAlignment="1">
      <alignment horizontal="center"/>
      <protection/>
    </xf>
    <xf numFmtId="0" fontId="5" fillId="34" borderId="18" xfId="0" applyNumberFormat="1" applyFont="1" applyFill="1" applyBorder="1" applyAlignment="1" applyProtection="1">
      <alignment horizontal="right" vertical="center"/>
      <protection/>
    </xf>
    <xf numFmtId="0" fontId="0" fillId="0" borderId="18" xfId="0" applyBorder="1" applyAlignment="1">
      <alignment horizontal="right" vertical="center"/>
    </xf>
    <xf numFmtId="0" fontId="5" fillId="34" borderId="0" xfId="0" applyNumberFormat="1" applyFont="1" applyFill="1" applyBorder="1" applyAlignment="1" applyProtection="1">
      <alignment horizontal="right" vertical="center"/>
      <protection/>
    </xf>
    <xf numFmtId="0" fontId="0" fillId="0" borderId="0" xfId="0" applyBorder="1" applyAlignment="1">
      <alignment horizontal="right" vertical="center"/>
    </xf>
    <xf numFmtId="0" fontId="5" fillId="34" borderId="13" xfId="0" applyNumberFormat="1" applyFont="1" applyFill="1" applyBorder="1" applyAlignment="1" applyProtection="1">
      <alignment horizontal="right" vertical="center"/>
      <protection/>
    </xf>
    <xf numFmtId="0" fontId="0" fillId="0" borderId="13" xfId="0" applyBorder="1" applyAlignment="1">
      <alignment horizontal="right" vertical="center"/>
    </xf>
    <xf numFmtId="0" fontId="33" fillId="41" borderId="22" xfId="123" applyFont="1" applyFill="1" applyBorder="1" applyAlignment="1" applyProtection="1">
      <alignment horizontal="center" vertical="center"/>
      <protection/>
    </xf>
    <xf numFmtId="0" fontId="33" fillId="41" borderId="18" xfId="123" applyFont="1" applyFill="1" applyBorder="1" applyAlignment="1" applyProtection="1">
      <alignment horizontal="center" vertical="center"/>
      <protection/>
    </xf>
    <xf numFmtId="0" fontId="0" fillId="0" borderId="23" xfId="123" applyBorder="1" applyAlignment="1" applyProtection="1">
      <alignment vertical="center"/>
      <protection/>
    </xf>
    <xf numFmtId="3" fontId="5" fillId="34" borderId="18" xfId="128" applyNumberFormat="1" applyFont="1" applyFill="1" applyBorder="1" applyAlignment="1" applyProtection="1">
      <alignment horizontal="right" vertical="center"/>
      <protection/>
    </xf>
    <xf numFmtId="0" fontId="0" fillId="0" borderId="23" xfId="128" applyBorder="1" applyAlignment="1">
      <alignment horizontal="right" vertical="center"/>
      <protection/>
    </xf>
    <xf numFmtId="0" fontId="5" fillId="34" borderId="0" xfId="128" applyFont="1" applyFill="1" applyAlignment="1" applyProtection="1">
      <alignment horizontal="right" vertical="center"/>
      <protection/>
    </xf>
    <xf numFmtId="0" fontId="5" fillId="0" borderId="25" xfId="128" applyFont="1" applyBorder="1" applyAlignment="1">
      <alignment horizontal="right" vertical="center"/>
      <protection/>
    </xf>
    <xf numFmtId="0" fontId="0" fillId="0" borderId="0" xfId="0"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3" fillId="41" borderId="22" xfId="0" applyNumberFormat="1" applyFont="1" applyFill="1" applyBorder="1" applyAlignment="1" applyProtection="1">
      <alignment horizontal="center"/>
      <protection/>
    </xf>
    <xf numFmtId="0" fontId="16" fillId="0" borderId="18" xfId="0" applyFont="1" applyBorder="1" applyAlignment="1">
      <alignment/>
    </xf>
    <xf numFmtId="0" fontId="16" fillId="0" borderId="23" xfId="0" applyFont="1" applyBorder="1" applyAlignment="1">
      <alignment/>
    </xf>
    <xf numFmtId="0" fontId="36" fillId="41" borderId="22" xfId="123" applyFont="1" applyFill="1" applyBorder="1" applyAlignment="1" applyProtection="1">
      <alignment horizontal="center" vertical="center"/>
      <protection/>
    </xf>
    <xf numFmtId="0" fontId="0" fillId="0" borderId="18" xfId="0" applyBorder="1" applyAlignment="1">
      <alignment horizontal="center" vertical="center"/>
    </xf>
    <xf numFmtId="0" fontId="33" fillId="41" borderId="22" xfId="94" applyFont="1" applyFill="1" applyBorder="1" applyAlignment="1" applyProtection="1">
      <alignment horizontal="center" vertical="center"/>
      <protection/>
    </xf>
    <xf numFmtId="0" fontId="33" fillId="41" borderId="18" xfId="94" applyFont="1" applyFill="1" applyBorder="1" applyAlignment="1" applyProtection="1">
      <alignment horizontal="center" vertical="center"/>
      <protection/>
    </xf>
    <xf numFmtId="0" fontId="33" fillId="41" borderId="23" xfId="94" applyFont="1" applyFill="1" applyBorder="1" applyAlignment="1" applyProtection="1">
      <alignment horizontal="center" vertical="center"/>
      <protection/>
    </xf>
    <xf numFmtId="0" fontId="33" fillId="41" borderId="22" xfId="0" applyFont="1" applyFill="1" applyBorder="1" applyAlignment="1" applyProtection="1">
      <alignment horizontal="center" vertical="center"/>
      <protection/>
    </xf>
    <xf numFmtId="182" fontId="33" fillId="41" borderId="18" xfId="0" applyNumberFormat="1" applyFont="1" applyFill="1" applyBorder="1" applyAlignment="1" applyProtection="1">
      <alignment horizontal="center"/>
      <protection/>
    </xf>
    <xf numFmtId="182" fontId="33" fillId="41" borderId="23" xfId="0" applyNumberFormat="1" applyFont="1" applyFill="1" applyBorder="1" applyAlignment="1" applyProtection="1">
      <alignment horizontal="center"/>
      <protection/>
    </xf>
    <xf numFmtId="0" fontId="5" fillId="34" borderId="0" xfId="71" applyNumberFormat="1" applyFont="1" applyFill="1" applyBorder="1" applyAlignment="1" applyProtection="1">
      <alignment horizontal="right" vertical="center"/>
      <protection/>
    </xf>
    <xf numFmtId="0" fontId="5" fillId="0" borderId="0" xfId="71" applyFont="1" applyAlignment="1" applyProtection="1">
      <alignment horizontal="right" vertical="center"/>
      <protection/>
    </xf>
    <xf numFmtId="0" fontId="0" fillId="0" borderId="23" xfId="0" applyBorder="1" applyAlignment="1">
      <alignment/>
    </xf>
    <xf numFmtId="0" fontId="41"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41" borderId="0" xfId="151" applyNumberFormat="1" applyFont="1" applyFill="1" applyAlignment="1" applyProtection="1">
      <alignment horizontal="center"/>
      <protection/>
    </xf>
    <xf numFmtId="0" fontId="13" fillId="41" borderId="22" xfId="124"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124" applyBorder="1" applyAlignment="1" applyProtection="1">
      <alignment horizontal="center"/>
      <protection/>
    </xf>
    <xf numFmtId="0" fontId="0" fillId="0" borderId="23" xfId="124" applyBorder="1" applyAlignment="1" applyProtection="1">
      <alignment horizontal="center"/>
      <protection/>
    </xf>
    <xf numFmtId="0" fontId="13" fillId="41" borderId="18" xfId="124" applyFont="1" applyFill="1" applyBorder="1" applyAlignment="1" applyProtection="1">
      <alignment horizontal="center"/>
      <protection/>
    </xf>
    <xf numFmtId="0" fontId="13" fillId="41" borderId="23" xfId="124" applyFont="1" applyFill="1" applyBorder="1" applyAlignment="1" applyProtection="1">
      <alignment horizontal="center"/>
      <protection/>
    </xf>
    <xf numFmtId="49" fontId="4" fillId="34" borderId="13" xfId="0" applyNumberFormat="1" applyFont="1" applyFill="1" applyBorder="1" applyAlignment="1" applyProtection="1">
      <alignment horizontal="center" vertical="center"/>
      <protection locked="0"/>
    </xf>
    <xf numFmtId="0" fontId="4" fillId="34" borderId="13" xfId="0" applyNumberFormat="1" applyFont="1" applyFill="1" applyBorder="1" applyAlignment="1" applyProtection="1">
      <alignment horizontal="center" vertical="center"/>
      <protection locked="0"/>
    </xf>
    <xf numFmtId="37" fontId="4" fillId="32"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38" fillId="41" borderId="34"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94" fontId="38" fillId="41" borderId="0" xfId="0" applyNumberFormat="1" applyFont="1" applyFill="1" applyBorder="1" applyAlignment="1">
      <alignment horizontal="center"/>
    </xf>
    <xf numFmtId="195" fontId="38" fillId="41" borderId="0" xfId="0" applyNumberFormat="1" applyFont="1" applyFill="1" applyBorder="1" applyAlignment="1">
      <alignment horizontal="center"/>
    </xf>
    <xf numFmtId="0" fontId="38" fillId="0" borderId="30" xfId="0" applyFont="1" applyBorder="1" applyAlignment="1">
      <alignment horizontal="center"/>
    </xf>
    <xf numFmtId="178" fontId="38" fillId="43" borderId="13" xfId="0" applyNumberFormat="1" applyFont="1" applyFill="1" applyBorder="1" applyAlignment="1" applyProtection="1">
      <alignment horizontal="center"/>
      <protection locked="0"/>
    </xf>
    <xf numFmtId="195" fontId="38" fillId="0" borderId="30" xfId="0" applyNumberFormat="1" applyFont="1" applyBorder="1" applyAlignment="1">
      <alignment horizontal="center"/>
    </xf>
    <xf numFmtId="5" fontId="38" fillId="41" borderId="13" xfId="0" applyNumberFormat="1" applyFont="1" applyFill="1" applyBorder="1" applyAlignment="1">
      <alignment horizontal="center"/>
    </xf>
    <xf numFmtId="0" fontId="38" fillId="41" borderId="0" xfId="0" applyFont="1" applyFill="1" applyBorder="1" applyAlignment="1">
      <alignment horizontal="center"/>
    </xf>
    <xf numFmtId="194" fontId="38" fillId="43" borderId="13" xfId="0" applyNumberFormat="1" applyFont="1" applyFill="1" applyBorder="1" applyAlignment="1" applyProtection="1">
      <alignment horizontal="center"/>
      <protection locked="0"/>
    </xf>
    <xf numFmtId="0" fontId="38" fillId="41" borderId="18" xfId="0" applyFont="1" applyFill="1" applyBorder="1" applyAlignment="1">
      <alignment horizontal="center"/>
    </xf>
    <xf numFmtId="0" fontId="86" fillId="41" borderId="27" xfId="0" applyFont="1" applyFill="1" applyBorder="1" applyAlignment="1">
      <alignment horizontal="center" vertical="center"/>
    </xf>
    <xf numFmtId="0" fontId="86" fillId="41" borderId="0" xfId="0" applyFont="1" applyFill="1" applyAlignment="1">
      <alignment horizontal="center" wrapText="1"/>
    </xf>
    <xf numFmtId="0" fontId="38" fillId="41" borderId="0" xfId="0" applyFont="1" applyFill="1" applyAlignment="1">
      <alignment wrapText="1"/>
    </xf>
    <xf numFmtId="0" fontId="38" fillId="0" borderId="27" xfId="0" applyFont="1" applyBorder="1" applyAlignment="1">
      <alignment horizontal="center" vertical="center"/>
    </xf>
    <xf numFmtId="194" fontId="38" fillId="43" borderId="29" xfId="0" applyNumberFormat="1" applyFont="1" applyFill="1" applyBorder="1" applyAlignment="1" applyProtection="1">
      <alignment horizontal="center"/>
      <protection locked="0"/>
    </xf>
    <xf numFmtId="0" fontId="38" fillId="41" borderId="0" xfId="0" applyFont="1" applyFill="1" applyBorder="1" applyAlignment="1">
      <alignment/>
    </xf>
    <xf numFmtId="0" fontId="38" fillId="0" borderId="0" xfId="0" applyFont="1" applyBorder="1" applyAlignment="1">
      <alignment/>
    </xf>
    <xf numFmtId="0" fontId="38" fillId="41" borderId="32" xfId="0" applyFont="1" applyFill="1" applyBorder="1" applyAlignment="1">
      <alignment/>
    </xf>
    <xf numFmtId="0" fontId="38" fillId="41" borderId="33" xfId="0" applyFont="1" applyFill="1" applyBorder="1" applyAlignment="1">
      <alignment/>
    </xf>
    <xf numFmtId="0" fontId="86" fillId="41" borderId="0" xfId="0" applyFont="1" applyFill="1" applyAlignment="1">
      <alignment horizontal="center"/>
    </xf>
    <xf numFmtId="0" fontId="38" fillId="0" borderId="0" xfId="0" applyFont="1" applyAlignment="1">
      <alignment wrapText="1"/>
    </xf>
    <xf numFmtId="194" fontId="38" fillId="41" borderId="0" xfId="0" applyNumberFormat="1" applyFont="1" applyFill="1" applyAlignment="1">
      <alignment horizontal="center"/>
    </xf>
    <xf numFmtId="0" fontId="38" fillId="41" borderId="0" xfId="0" applyFont="1" applyFill="1" applyBorder="1" applyAlignment="1">
      <alignment wrapText="1"/>
    </xf>
    <xf numFmtId="0" fontId="86" fillId="41" borderId="0" xfId="0" applyFont="1" applyFill="1" applyBorder="1" applyAlignment="1">
      <alignment horizontal="center" wrapText="1"/>
    </xf>
    <xf numFmtId="0" fontId="38" fillId="0" borderId="0" xfId="0" applyFont="1" applyAlignment="1">
      <alignment horizontal="center" wrapText="1"/>
    </xf>
    <xf numFmtId="0" fontId="86" fillId="0" borderId="0" xfId="0" applyFont="1" applyAlignment="1">
      <alignment horizontal="center" wrapText="1"/>
    </xf>
    <xf numFmtId="0" fontId="86" fillId="41" borderId="0" xfId="0" applyFont="1" applyFill="1" applyAlignment="1">
      <alignment horizontal="center" vertical="center"/>
    </xf>
    <xf numFmtId="0" fontId="86" fillId="0" borderId="0" xfId="0" applyFont="1" applyAlignment="1">
      <alignment horizontal="center" vertical="center"/>
    </xf>
    <xf numFmtId="194" fontId="38" fillId="41" borderId="0" xfId="0" applyNumberFormat="1" applyFont="1" applyFill="1" applyAlignment="1">
      <alignment/>
    </xf>
  </cellXfs>
  <cellStyles count="5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17" xfId="48"/>
    <cellStyle name="Comma 2" xfId="49"/>
    <cellStyle name="Comma 2 2" xfId="50"/>
    <cellStyle name="Comma 3" xfId="51"/>
    <cellStyle name="Comma 3 2" xfId="52"/>
    <cellStyle name="Comma 3 3" xfId="53"/>
    <cellStyle name="Comma 4" xfId="54"/>
    <cellStyle name="Comma 4 2" xfId="55"/>
    <cellStyle name="Comma 5" xfId="56"/>
    <cellStyle name="Comma 6" xfId="57"/>
    <cellStyle name="Comma 6 2" xfId="58"/>
    <cellStyle name="Comma 7" xfId="59"/>
    <cellStyle name="Comma 7 2" xfId="60"/>
    <cellStyle name="Comma 7 3"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6"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Input" xfId="89"/>
    <cellStyle name="Linked Cell" xfId="90"/>
    <cellStyle name="Neutral" xfId="91"/>
    <cellStyle name="Normal 10" xfId="92"/>
    <cellStyle name="Normal 10 2" xfId="93"/>
    <cellStyle name="Normal 10 2 2" xfId="94"/>
    <cellStyle name="Normal 10 2 2 2" xfId="95"/>
    <cellStyle name="Normal 10 2 2 3" xfId="96"/>
    <cellStyle name="Normal 10 2 3" xfId="97"/>
    <cellStyle name="Normal 10 3" xfId="98"/>
    <cellStyle name="Normal 10 3 2" xfId="99"/>
    <cellStyle name="Normal 10 3 3" xfId="100"/>
    <cellStyle name="Normal 10 4" xfId="101"/>
    <cellStyle name="Normal 10 4 2" xfId="102"/>
    <cellStyle name="Normal 10 4 3" xfId="103"/>
    <cellStyle name="Normal 10 5" xfId="104"/>
    <cellStyle name="Normal 10 5 2" xfId="105"/>
    <cellStyle name="Normal 10 5 3" xfId="106"/>
    <cellStyle name="Normal 10 6" xfId="107"/>
    <cellStyle name="Normal 10 6 2" xfId="108"/>
    <cellStyle name="Normal 10 6 3" xfId="109"/>
    <cellStyle name="Normal 10 7" xfId="110"/>
    <cellStyle name="Normal 10 7 2" xfId="111"/>
    <cellStyle name="Normal 10 7 3" xfId="112"/>
    <cellStyle name="Normal 11" xfId="113"/>
    <cellStyle name="Normal 11 2" xfId="114"/>
    <cellStyle name="Normal 11 2 2" xfId="115"/>
    <cellStyle name="Normal 11 2 3" xfId="116"/>
    <cellStyle name="Normal 11 3" xfId="117"/>
    <cellStyle name="Normal 11 4" xfId="118"/>
    <cellStyle name="Normal 11 5" xfId="119"/>
    <cellStyle name="Normal 11 5 2" xfId="120"/>
    <cellStyle name="Normal 11 5 3" xfId="121"/>
    <cellStyle name="Normal 11 6" xfId="122"/>
    <cellStyle name="Normal 12" xfId="123"/>
    <cellStyle name="Normal 12 10" xfId="124"/>
    <cellStyle name="Normal 12 11" xfId="125"/>
    <cellStyle name="Normal 12 12" xfId="126"/>
    <cellStyle name="Normal 12 13" xfId="127"/>
    <cellStyle name="Normal 12 2" xfId="128"/>
    <cellStyle name="Normal 12 2 2" xfId="129"/>
    <cellStyle name="Normal 12 3" xfId="130"/>
    <cellStyle name="Normal 12 4" xfId="131"/>
    <cellStyle name="Normal 12 5" xfId="132"/>
    <cellStyle name="Normal 12 6" xfId="133"/>
    <cellStyle name="Normal 12 7" xfId="134"/>
    <cellStyle name="Normal 12 8" xfId="135"/>
    <cellStyle name="Normal 12 9" xfId="136"/>
    <cellStyle name="Normal 13" xfId="137"/>
    <cellStyle name="Normal 13 10" xfId="138"/>
    <cellStyle name="Normal 13 11" xfId="139"/>
    <cellStyle name="Normal 13 12" xfId="140"/>
    <cellStyle name="Normal 13 13" xfId="141"/>
    <cellStyle name="Normal 13 2" xfId="142"/>
    <cellStyle name="Normal 13 2 2" xfId="143"/>
    <cellStyle name="Normal 13 3" xfId="144"/>
    <cellStyle name="Normal 13 4" xfId="145"/>
    <cellStyle name="Normal 13 5" xfId="146"/>
    <cellStyle name="Normal 13 6" xfId="147"/>
    <cellStyle name="Normal 13 7" xfId="148"/>
    <cellStyle name="Normal 13 8" xfId="149"/>
    <cellStyle name="Normal 13 9" xfId="150"/>
    <cellStyle name="Normal 14" xfId="151"/>
    <cellStyle name="Normal 14 2" xfId="152"/>
    <cellStyle name="Normal 14 3" xfId="153"/>
    <cellStyle name="Normal 14 4" xfId="154"/>
    <cellStyle name="Normal 14 5" xfId="155"/>
    <cellStyle name="Normal 14 6" xfId="156"/>
    <cellStyle name="Normal 14 7" xfId="157"/>
    <cellStyle name="Normal 14 7 2" xfId="158"/>
    <cellStyle name="Normal 14 7 3" xfId="159"/>
    <cellStyle name="Normal 15" xfId="160"/>
    <cellStyle name="Normal 15 2" xfId="161"/>
    <cellStyle name="Normal 15 3" xfId="162"/>
    <cellStyle name="Normal 15 4" xfId="163"/>
    <cellStyle name="Normal 15 5" xfId="164"/>
    <cellStyle name="Normal 16" xfId="165"/>
    <cellStyle name="Normal 16 2" xfId="166"/>
    <cellStyle name="Normal 16 3" xfId="167"/>
    <cellStyle name="Normal 16 4" xfId="168"/>
    <cellStyle name="Normal 16 5" xfId="169"/>
    <cellStyle name="Normal 17" xfId="170"/>
    <cellStyle name="Normal 17 2" xfId="171"/>
    <cellStyle name="Normal 17 3" xfId="172"/>
    <cellStyle name="Normal 17 4" xfId="173"/>
    <cellStyle name="Normal 17 5" xfId="174"/>
    <cellStyle name="Normal 18" xfId="175"/>
    <cellStyle name="Normal 18 2" xfId="176"/>
    <cellStyle name="Normal 18 2 2" xfId="177"/>
    <cellStyle name="Normal 18 2 3" xfId="178"/>
    <cellStyle name="Normal 18 3" xfId="179"/>
    <cellStyle name="Normal 18 4" xfId="180"/>
    <cellStyle name="Normal 18 5" xfId="181"/>
    <cellStyle name="Normal 18 6" xfId="182"/>
    <cellStyle name="Normal 18 7" xfId="183"/>
    <cellStyle name="Normal 18 8" xfId="184"/>
    <cellStyle name="Normal 18 9" xfId="185"/>
    <cellStyle name="Normal 19" xfId="186"/>
    <cellStyle name="Normal 19 2" xfId="187"/>
    <cellStyle name="Normal 19 2 2" xfId="188"/>
    <cellStyle name="Normal 19 2 3" xfId="189"/>
    <cellStyle name="Normal 19 3" xfId="190"/>
    <cellStyle name="Normal 19 4" xfId="191"/>
    <cellStyle name="Normal 19 5" xfId="192"/>
    <cellStyle name="Normal 19 6" xfId="193"/>
    <cellStyle name="Normal 19 7" xfId="194"/>
    <cellStyle name="Normal 19 8" xfId="195"/>
    <cellStyle name="Normal 2" xfId="196"/>
    <cellStyle name="Normal 2 10" xfId="197"/>
    <cellStyle name="Normal 2 10 10" xfId="198"/>
    <cellStyle name="Normal 2 10 11" xfId="199"/>
    <cellStyle name="Normal 2 10 11 2" xfId="200"/>
    <cellStyle name="Normal 2 10 11 2 2" xfId="201"/>
    <cellStyle name="Normal 2 10 11 2 2 2" xfId="202"/>
    <cellStyle name="Normal 2 10 11 2 2 3" xfId="203"/>
    <cellStyle name="Normal 2 10 11 3" xfId="204"/>
    <cellStyle name="Normal 2 10 11 4" xfId="205"/>
    <cellStyle name="Normal 2 10 11 5" xfId="206"/>
    <cellStyle name="Normal 2 10 12" xfId="207"/>
    <cellStyle name="Normal 2 10 2" xfId="208"/>
    <cellStyle name="Normal 2 10 2 2" xfId="209"/>
    <cellStyle name="Normal 2 10 3" xfId="210"/>
    <cellStyle name="Normal 2 10 3 2" xfId="211"/>
    <cellStyle name="Normal 2 10 4" xfId="212"/>
    <cellStyle name="Normal 2 10 4 2" xfId="213"/>
    <cellStyle name="Normal 2 10 5" xfId="214"/>
    <cellStyle name="Normal 2 10 5 2" xfId="215"/>
    <cellStyle name="Normal 2 10 6" xfId="216"/>
    <cellStyle name="Normal 2 10 6 2" xfId="217"/>
    <cellStyle name="Normal 2 10 7" xfId="218"/>
    <cellStyle name="Normal 2 10 7 2" xfId="219"/>
    <cellStyle name="Normal 2 10 8" xfId="220"/>
    <cellStyle name="Normal 2 10 8 2" xfId="221"/>
    <cellStyle name="Normal 2 10 9" xfId="222"/>
    <cellStyle name="Normal 2 11" xfId="223"/>
    <cellStyle name="Normal 2 11 10" xfId="224"/>
    <cellStyle name="Normal 2 11 11" xfId="225"/>
    <cellStyle name="Normal 2 11 2" xfId="226"/>
    <cellStyle name="Normal 2 11 2 2" xfId="227"/>
    <cellStyle name="Normal 2 11 3" xfId="228"/>
    <cellStyle name="Normal 2 11 3 2" xfId="229"/>
    <cellStyle name="Normal 2 11 4" xfId="230"/>
    <cellStyle name="Normal 2 11 4 2" xfId="231"/>
    <cellStyle name="Normal 2 11 5" xfId="232"/>
    <cellStyle name="Normal 2 11 5 2" xfId="233"/>
    <cellStyle name="Normal 2 11 6" xfId="234"/>
    <cellStyle name="Normal 2 11 6 2" xfId="235"/>
    <cellStyle name="Normal 2 11 7" xfId="236"/>
    <cellStyle name="Normal 2 11 7 2" xfId="237"/>
    <cellStyle name="Normal 2 11 8" xfId="238"/>
    <cellStyle name="Normal 2 11 8 2" xfId="239"/>
    <cellStyle name="Normal 2 11 9" xfId="240"/>
    <cellStyle name="Normal 2 12" xfId="241"/>
    <cellStyle name="Normal 2 13" xfId="242"/>
    <cellStyle name="Normal 2 14" xfId="243"/>
    <cellStyle name="Normal 2 15" xfId="244"/>
    <cellStyle name="Normal 2 16" xfId="245"/>
    <cellStyle name="Normal 2 17" xfId="246"/>
    <cellStyle name="Normal 2 17 2" xfId="247"/>
    <cellStyle name="Normal 2 17 3" xfId="248"/>
    <cellStyle name="Normal 2 2" xfId="249"/>
    <cellStyle name="Normal 2 2 10" xfId="250"/>
    <cellStyle name="Normal 2 2 10 2" xfId="251"/>
    <cellStyle name="Normal 2 2 11" xfId="252"/>
    <cellStyle name="Normal 2 2 11 2" xfId="253"/>
    <cellStyle name="Normal 2 2 12" xfId="254"/>
    <cellStyle name="Normal 2 2 12 2" xfId="255"/>
    <cellStyle name="Normal 2 2 12 2 2" xfId="256"/>
    <cellStyle name="Normal 2 2 12 2 3" xfId="257"/>
    <cellStyle name="Normal 2 2 12 2 4" xfId="258"/>
    <cellStyle name="Normal 2 2 12 3" xfId="259"/>
    <cellStyle name="Normal 2 2 12 4" xfId="260"/>
    <cellStyle name="Normal 2 2 13" xfId="261"/>
    <cellStyle name="Normal 2 2 13 2" xfId="262"/>
    <cellStyle name="Normal 2 2 13 2 2" xfId="263"/>
    <cellStyle name="Normal 2 2 13 2 3" xfId="264"/>
    <cellStyle name="Normal 2 2 13 2 4" xfId="265"/>
    <cellStyle name="Normal 2 2 13 3" xfId="266"/>
    <cellStyle name="Normal 2 2 13 4" xfId="267"/>
    <cellStyle name="Normal 2 2 14" xfId="268"/>
    <cellStyle name="Normal 2 2 14 2" xfId="269"/>
    <cellStyle name="Normal 2 2 15" xfId="270"/>
    <cellStyle name="Normal 2 2 15 2" xfId="271"/>
    <cellStyle name="Normal 2 2 16" xfId="272"/>
    <cellStyle name="Normal 2 2 16 2" xfId="273"/>
    <cellStyle name="Normal 2 2 16 3" xfId="274"/>
    <cellStyle name="Normal 2 2 17" xfId="275"/>
    <cellStyle name="Normal 2 2 18" xfId="276"/>
    <cellStyle name="Normal 2 2 19" xfId="277"/>
    <cellStyle name="Normal 2 2 2" xfId="278"/>
    <cellStyle name="Normal 2 2 2 2" xfId="279"/>
    <cellStyle name="Normal 2 2 2 2 2" xfId="280"/>
    <cellStyle name="Normal 2 2 2 2 3" xfId="281"/>
    <cellStyle name="Normal 2 2 2 2 3 2" xfId="282"/>
    <cellStyle name="Normal 2 2 2 2 3 3" xfId="283"/>
    <cellStyle name="Normal 2 2 2 3" xfId="284"/>
    <cellStyle name="Normal 2 2 2 3 2" xfId="285"/>
    <cellStyle name="Normal 2 2 2 3 3" xfId="286"/>
    <cellStyle name="Normal 2 2 2 3 4" xfId="287"/>
    <cellStyle name="Normal 2 2 2 4" xfId="288"/>
    <cellStyle name="Normal 2 2 2 4 2" xfId="289"/>
    <cellStyle name="Normal 2 2 2 5" xfId="290"/>
    <cellStyle name="Normal 2 2 2 5 2" xfId="291"/>
    <cellStyle name="Normal 2 2 2 5 3" xfId="292"/>
    <cellStyle name="Normal 2 2 2 5 4" xfId="293"/>
    <cellStyle name="Normal 2 2 2 6" xfId="294"/>
    <cellStyle name="Normal 2 2 2 6 2" xfId="295"/>
    <cellStyle name="Normal 2 2 2 7" xfId="296"/>
    <cellStyle name="Normal 2 2 2 7 2" xfId="297"/>
    <cellStyle name="Normal 2 2 2 7 3" xfId="298"/>
    <cellStyle name="Normal 2 2 2 8" xfId="299"/>
    <cellStyle name="Normal 2 2 20" xfId="300"/>
    <cellStyle name="Normal 2 2 21" xfId="301"/>
    <cellStyle name="Normal 2 2 22" xfId="302"/>
    <cellStyle name="Normal 2 2 3" xfId="303"/>
    <cellStyle name="Normal 2 2 3 2" xfId="304"/>
    <cellStyle name="Normal 2 2 4" xfId="305"/>
    <cellStyle name="Normal 2 2 4 2" xfId="306"/>
    <cellStyle name="Normal 2 2 5" xfId="307"/>
    <cellStyle name="Normal 2 2 5 2" xfId="308"/>
    <cellStyle name="Normal 2 2 6" xfId="309"/>
    <cellStyle name="Normal 2 2 6 2" xfId="310"/>
    <cellStyle name="Normal 2 2 7" xfId="311"/>
    <cellStyle name="Normal 2 2 7 2" xfId="312"/>
    <cellStyle name="Normal 2 2 8" xfId="313"/>
    <cellStyle name="Normal 2 2 8 2" xfId="314"/>
    <cellStyle name="Normal 2 2 9" xfId="315"/>
    <cellStyle name="Normal 2 2 9 2" xfId="316"/>
    <cellStyle name="Normal 2 3" xfId="317"/>
    <cellStyle name="Normal 2 3 10" xfId="318"/>
    <cellStyle name="Normal 2 3 11" xfId="319"/>
    <cellStyle name="Normal 2 3 12" xfId="320"/>
    <cellStyle name="Normal 2 3 13" xfId="321"/>
    <cellStyle name="Normal 2 3 14" xfId="322"/>
    <cellStyle name="Normal 2 3 15" xfId="323"/>
    <cellStyle name="Normal 2 3 2" xfId="324"/>
    <cellStyle name="Normal 2 3 2 2" xfId="325"/>
    <cellStyle name="Normal 2 3 2 2 2" xfId="326"/>
    <cellStyle name="Normal 2 3 2 2 3" xfId="327"/>
    <cellStyle name="Normal 2 3 2 3" xfId="328"/>
    <cellStyle name="Normal 2 3 2 4" xfId="329"/>
    <cellStyle name="Normal 2 3 2 5" xfId="330"/>
    <cellStyle name="Normal 2 3 3" xfId="331"/>
    <cellStyle name="Normal 2 3 3 2" xfId="332"/>
    <cellStyle name="Normal 2 3 3 3" xfId="333"/>
    <cellStyle name="Normal 2 3 4" xfId="334"/>
    <cellStyle name="Normal 2 3 5" xfId="335"/>
    <cellStyle name="Normal 2 3 6" xfId="336"/>
    <cellStyle name="Normal 2 3 7" xfId="337"/>
    <cellStyle name="Normal 2 3 8" xfId="338"/>
    <cellStyle name="Normal 2 3 9" xfId="339"/>
    <cellStyle name="Normal 2 4" xfId="340"/>
    <cellStyle name="Normal 2 4 10" xfId="341"/>
    <cellStyle name="Normal 2 4 11" xfId="342"/>
    <cellStyle name="Normal 2 4 12" xfId="343"/>
    <cellStyle name="Normal 2 4 12 2" xfId="344"/>
    <cellStyle name="Normal 2 4 12 3" xfId="345"/>
    <cellStyle name="Normal 2 4 13" xfId="346"/>
    <cellStyle name="Normal 2 4 13 2" xfId="347"/>
    <cellStyle name="Normal 2 4 13 3" xfId="348"/>
    <cellStyle name="Normal 2 4 2" xfId="349"/>
    <cellStyle name="Normal 2 4 2 2" xfId="350"/>
    <cellStyle name="Normal 2 4 2 2 2" xfId="351"/>
    <cellStyle name="Normal 2 4 2 2 3" xfId="352"/>
    <cellStyle name="Normal 2 4 2 3" xfId="353"/>
    <cellStyle name="Normal 2 4 2 4" xfId="354"/>
    <cellStyle name="Normal 2 4 2 5" xfId="355"/>
    <cellStyle name="Normal 2 4 3" xfId="356"/>
    <cellStyle name="Normal 2 4 3 2" xfId="357"/>
    <cellStyle name="Normal 2 4 3 3" xfId="358"/>
    <cellStyle name="Normal 2 4 4" xfId="359"/>
    <cellStyle name="Normal 2 4 5" xfId="360"/>
    <cellStyle name="Normal 2 4 6" xfId="361"/>
    <cellStyle name="Normal 2 4 7" xfId="362"/>
    <cellStyle name="Normal 2 4 8" xfId="363"/>
    <cellStyle name="Normal 2 4 9" xfId="364"/>
    <cellStyle name="Normal 2 5" xfId="365"/>
    <cellStyle name="Normal 2 5 10" xfId="366"/>
    <cellStyle name="Normal 2 5 11" xfId="367"/>
    <cellStyle name="Normal 2 5 12" xfId="368"/>
    <cellStyle name="Normal 2 5 12 2" xfId="369"/>
    <cellStyle name="Normal 2 5 12 3" xfId="370"/>
    <cellStyle name="Normal 2 5 2" xfId="371"/>
    <cellStyle name="Normal 2 5 2 2" xfId="372"/>
    <cellStyle name="Normal 2 5 3" xfId="373"/>
    <cellStyle name="Normal 2 5 3 2" xfId="374"/>
    <cellStyle name="Normal 2 5 4" xfId="375"/>
    <cellStyle name="Normal 2 5 5" xfId="376"/>
    <cellStyle name="Normal 2 5 6" xfId="377"/>
    <cellStyle name="Normal 2 5 7" xfId="378"/>
    <cellStyle name="Normal 2 5 8" xfId="379"/>
    <cellStyle name="Normal 2 5 9" xfId="380"/>
    <cellStyle name="Normal 2 6" xfId="381"/>
    <cellStyle name="Normal 2 6 10" xfId="382"/>
    <cellStyle name="Normal 2 6 11" xfId="383"/>
    <cellStyle name="Normal 2 6 12" xfId="384"/>
    <cellStyle name="Normal 2 6 2" xfId="385"/>
    <cellStyle name="Normal 2 6 2 2" xfId="386"/>
    <cellStyle name="Normal 2 6 3" xfId="387"/>
    <cellStyle name="Normal 2 6 3 2" xfId="388"/>
    <cellStyle name="Normal 2 6 4" xfId="389"/>
    <cellStyle name="Normal 2 6 5" xfId="390"/>
    <cellStyle name="Normal 2 6 6" xfId="391"/>
    <cellStyle name="Normal 2 6 7" xfId="392"/>
    <cellStyle name="Normal 2 6 8" xfId="393"/>
    <cellStyle name="Normal 2 6 9" xfId="394"/>
    <cellStyle name="Normal 2 7" xfId="395"/>
    <cellStyle name="Normal 2 7 10" xfId="396"/>
    <cellStyle name="Normal 2 7 11" xfId="397"/>
    <cellStyle name="Normal 2 7 2" xfId="398"/>
    <cellStyle name="Normal 2 7 2 2" xfId="399"/>
    <cellStyle name="Normal 2 7 2 3" xfId="400"/>
    <cellStyle name="Normal 2 7 3" xfId="401"/>
    <cellStyle name="Normal 2 7 3 2" xfId="402"/>
    <cellStyle name="Normal 2 7 4" xfId="403"/>
    <cellStyle name="Normal 2 7 4 2" xfId="404"/>
    <cellStyle name="Normal 2 7 5" xfId="405"/>
    <cellStyle name="Normal 2 7 5 2" xfId="406"/>
    <cellStyle name="Normal 2 7 6" xfId="407"/>
    <cellStyle name="Normal 2 7 6 2" xfId="408"/>
    <cellStyle name="Normal 2 7 7" xfId="409"/>
    <cellStyle name="Normal 2 7 7 2" xfId="410"/>
    <cellStyle name="Normal 2 7 8" xfId="411"/>
    <cellStyle name="Normal 2 7 8 2" xfId="412"/>
    <cellStyle name="Normal 2 7 9" xfId="413"/>
    <cellStyle name="Normal 2 8" xfId="414"/>
    <cellStyle name="Normal 2 8 10" xfId="415"/>
    <cellStyle name="Normal 2 8 11" xfId="416"/>
    <cellStyle name="Normal 2 8 2" xfId="417"/>
    <cellStyle name="Normal 2 8 2 2" xfId="418"/>
    <cellStyle name="Normal 2 8 3" xfId="419"/>
    <cellStyle name="Normal 2 8 3 2" xfId="420"/>
    <cellStyle name="Normal 2 8 4" xfId="421"/>
    <cellStyle name="Normal 2 8 4 2" xfId="422"/>
    <cellStyle name="Normal 2 8 5" xfId="423"/>
    <cellStyle name="Normal 2 8 5 2" xfId="424"/>
    <cellStyle name="Normal 2 8 6" xfId="425"/>
    <cellStyle name="Normal 2 8 6 2" xfId="426"/>
    <cellStyle name="Normal 2 8 7" xfId="427"/>
    <cellStyle name="Normal 2 8 7 2" xfId="428"/>
    <cellStyle name="Normal 2 8 8" xfId="429"/>
    <cellStyle name="Normal 2 8 8 2" xfId="430"/>
    <cellStyle name="Normal 2 8 9" xfId="431"/>
    <cellStyle name="Normal 2 9" xfId="432"/>
    <cellStyle name="Normal 2 9 10" xfId="433"/>
    <cellStyle name="Normal 2 9 11" xfId="434"/>
    <cellStyle name="Normal 2 9 2" xfId="435"/>
    <cellStyle name="Normal 2 9 2 2" xfId="436"/>
    <cellStyle name="Normal 2 9 3" xfId="437"/>
    <cellStyle name="Normal 2 9 3 2" xfId="438"/>
    <cellStyle name="Normal 2 9 4" xfId="439"/>
    <cellStyle name="Normal 2 9 4 2" xfId="440"/>
    <cellStyle name="Normal 2 9 5" xfId="441"/>
    <cellStyle name="Normal 2 9 5 2" xfId="442"/>
    <cellStyle name="Normal 2 9 6" xfId="443"/>
    <cellStyle name="Normal 2 9 6 2" xfId="444"/>
    <cellStyle name="Normal 2 9 7" xfId="445"/>
    <cellStyle name="Normal 2 9 7 2" xfId="446"/>
    <cellStyle name="Normal 2 9 8" xfId="447"/>
    <cellStyle name="Normal 2 9 8 2" xfId="448"/>
    <cellStyle name="Normal 2 9 9" xfId="449"/>
    <cellStyle name="Normal 20" xfId="450"/>
    <cellStyle name="Normal 20 2" xfId="451"/>
    <cellStyle name="Normal 20 3" xfId="452"/>
    <cellStyle name="Normal 21" xfId="453"/>
    <cellStyle name="Normal 21 2" xfId="454"/>
    <cellStyle name="Normal 21 2 2" xfId="455"/>
    <cellStyle name="Normal 21 2 3" xfId="456"/>
    <cellStyle name="Normal 21 3" xfId="457"/>
    <cellStyle name="Normal 21 4" xfId="458"/>
    <cellStyle name="Normal 21 5" xfId="459"/>
    <cellStyle name="Normal 22" xfId="460"/>
    <cellStyle name="Normal 22 2" xfId="461"/>
    <cellStyle name="Normal 22 3" xfId="462"/>
    <cellStyle name="Normal 23" xfId="463"/>
    <cellStyle name="Normal 23 2" xfId="464"/>
    <cellStyle name="Normal 23 3" xfId="465"/>
    <cellStyle name="Normal 24" xfId="466"/>
    <cellStyle name="Normal 24 2" xfId="467"/>
    <cellStyle name="Normal 24 3" xfId="468"/>
    <cellStyle name="Normal 25" xfId="469"/>
    <cellStyle name="Normal 25 2" xfId="470"/>
    <cellStyle name="Normal 25 3" xfId="471"/>
    <cellStyle name="Normal 26" xfId="472"/>
    <cellStyle name="Normal 27" xfId="473"/>
    <cellStyle name="Normal 27 2" xfId="474"/>
    <cellStyle name="Normal 3" xfId="475"/>
    <cellStyle name="Normal 3 10" xfId="476"/>
    <cellStyle name="Normal 3 10 2" xfId="477"/>
    <cellStyle name="Normal 3 11" xfId="478"/>
    <cellStyle name="Normal 3 12" xfId="479"/>
    <cellStyle name="Normal 3 13" xfId="480"/>
    <cellStyle name="Normal 3 14" xfId="481"/>
    <cellStyle name="Normal 3 15" xfId="482"/>
    <cellStyle name="Normal 3 2" xfId="483"/>
    <cellStyle name="Normal 3 2 2" xfId="484"/>
    <cellStyle name="Normal 3 2 2 2" xfId="485"/>
    <cellStyle name="Normal 3 2 2 3" xfId="486"/>
    <cellStyle name="Normal 3 2 3" xfId="487"/>
    <cellStyle name="Normal 3 2 4" xfId="488"/>
    <cellStyle name="Normal 3 2 5" xfId="489"/>
    <cellStyle name="Normal 3 3" xfId="490"/>
    <cellStyle name="Normal 3 3 2" xfId="491"/>
    <cellStyle name="Normal 3 3 2 2" xfId="492"/>
    <cellStyle name="Normal 3 3 2 3" xfId="493"/>
    <cellStyle name="Normal 3 3 3" xfId="494"/>
    <cellStyle name="Normal 3 3 4" xfId="495"/>
    <cellStyle name="Normal 3 4" xfId="496"/>
    <cellStyle name="Normal 3 5" xfId="497"/>
    <cellStyle name="Normal 3 6" xfId="498"/>
    <cellStyle name="Normal 3 7" xfId="499"/>
    <cellStyle name="Normal 3 7 2" xfId="500"/>
    <cellStyle name="Normal 3 7 3" xfId="501"/>
    <cellStyle name="Normal 3 8" xfId="502"/>
    <cellStyle name="Normal 3 8 2" xfId="503"/>
    <cellStyle name="Normal 3 8 3" xfId="504"/>
    <cellStyle name="Normal 3 9" xfId="505"/>
    <cellStyle name="Normal 3 9 2" xfId="506"/>
    <cellStyle name="Normal 3 9 3" xfId="507"/>
    <cellStyle name="Normal 4" xfId="508"/>
    <cellStyle name="Normal 4 10" xfId="509"/>
    <cellStyle name="Normal 4 11" xfId="510"/>
    <cellStyle name="Normal 4 12" xfId="511"/>
    <cellStyle name="Normal 4 13" xfId="512"/>
    <cellStyle name="Normal 4 2" xfId="513"/>
    <cellStyle name="Normal 4 2 2" xfId="514"/>
    <cellStyle name="Normal 4 2 2 2" xfId="515"/>
    <cellStyle name="Normal 4 2 2 3" xfId="516"/>
    <cellStyle name="Normal 4 2 2 3 2" xfId="517"/>
    <cellStyle name="Normal 4 2 3" xfId="518"/>
    <cellStyle name="Normal 4 2 4" xfId="519"/>
    <cellStyle name="Normal 4 2 5" xfId="520"/>
    <cellStyle name="Normal 4 3" xfId="521"/>
    <cellStyle name="Normal 4 3 2" xfId="522"/>
    <cellStyle name="Normal 4 3 3" xfId="523"/>
    <cellStyle name="Normal 4 4" xfId="524"/>
    <cellStyle name="Normal 4 5" xfId="525"/>
    <cellStyle name="Normal 4 5 2" xfId="526"/>
    <cellStyle name="Normal 4 5 3" xfId="527"/>
    <cellStyle name="Normal 4 6" xfId="528"/>
    <cellStyle name="Normal 4 6 2" xfId="529"/>
    <cellStyle name="Normal 4 6 3" xfId="530"/>
    <cellStyle name="Normal 4 7" xfId="531"/>
    <cellStyle name="Normal 4 8" xfId="532"/>
    <cellStyle name="Normal 4 9" xfId="533"/>
    <cellStyle name="Normal 5" xfId="534"/>
    <cellStyle name="Normal 5 2" xfId="535"/>
    <cellStyle name="Normal 5 3" xfId="536"/>
    <cellStyle name="Normal 5 3 2" xfId="537"/>
    <cellStyle name="Normal 5 3 3" xfId="538"/>
    <cellStyle name="Normal 5 4" xfId="539"/>
    <cellStyle name="Normal 5 5" xfId="540"/>
    <cellStyle name="Normal 5 5 2" xfId="541"/>
    <cellStyle name="Normal 5 5 3" xfId="542"/>
    <cellStyle name="Normal 5 6" xfId="543"/>
    <cellStyle name="Normal 6" xfId="544"/>
    <cellStyle name="Normal 6 2" xfId="545"/>
    <cellStyle name="Normal 6 3" xfId="546"/>
    <cellStyle name="Normal 6 4" xfId="547"/>
    <cellStyle name="Normal 6 5" xfId="548"/>
    <cellStyle name="Normal 7" xfId="549"/>
    <cellStyle name="Normal 7 2" xfId="550"/>
    <cellStyle name="Normal 7 2 2" xfId="551"/>
    <cellStyle name="Normal 7 2 2 2" xfId="552"/>
    <cellStyle name="Normal 7 2 2 3" xfId="553"/>
    <cellStyle name="Normal 7 2 3" xfId="554"/>
    <cellStyle name="Normal 7 2 4" xfId="555"/>
    <cellStyle name="Normal 7 2 4 2" xfId="556"/>
    <cellStyle name="Normal 7 2 4 3" xfId="557"/>
    <cellStyle name="Normal 7 2 5" xfId="558"/>
    <cellStyle name="Normal 7 3" xfId="559"/>
    <cellStyle name="Normal 7 4" xfId="560"/>
    <cellStyle name="Normal 7 4 2" xfId="561"/>
    <cellStyle name="Normal 7 4 3" xfId="562"/>
    <cellStyle name="Normal 7 5" xfId="563"/>
    <cellStyle name="Normal 7 5 2" xfId="564"/>
    <cellStyle name="Normal 7 5 3" xfId="565"/>
    <cellStyle name="Normal 7 5 4" xfId="566"/>
    <cellStyle name="Normal 7 5 5" xfId="567"/>
    <cellStyle name="Normal 7 6" xfId="568"/>
    <cellStyle name="Normal 7 7" xfId="569"/>
    <cellStyle name="Normal 8" xfId="570"/>
    <cellStyle name="Normal 8 2" xfId="571"/>
    <cellStyle name="Normal 8 3" xfId="572"/>
    <cellStyle name="Normal 9" xfId="573"/>
    <cellStyle name="Normal 9 2" xfId="574"/>
    <cellStyle name="Normal 9 2 2" xfId="575"/>
    <cellStyle name="Normal 9 2 3" xfId="576"/>
    <cellStyle name="Normal 9 3" xfId="577"/>
    <cellStyle name="Normal 9 4" xfId="578"/>
    <cellStyle name="Normal 9 5" xfId="579"/>
    <cellStyle name="Normal 9 5 2" xfId="580"/>
    <cellStyle name="Normal 9 5 3" xfId="581"/>
    <cellStyle name="Normal 9 6" xfId="582"/>
    <cellStyle name="Normal 9 6 2" xfId="583"/>
    <cellStyle name="Normal 9 6 3" xfId="584"/>
    <cellStyle name="Normal_debt" xfId="585"/>
    <cellStyle name="Normal_lpform" xfId="586"/>
    <cellStyle name="Note" xfId="587"/>
    <cellStyle name="Output" xfId="588"/>
    <cellStyle name="Percent" xfId="589"/>
    <cellStyle name="Title" xfId="590"/>
    <cellStyle name="Total" xfId="591"/>
    <cellStyle name="Warning Text" xfId="592"/>
  </cellStyles>
  <dxfs count="261">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mailto:megan.schulz@ks.gov" TargetMode="Externa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2"/>
  <sheetViews>
    <sheetView tabSelected="1" zoomScale="80" zoomScaleNormal="80" zoomScalePageLayoutView="0" workbookViewId="0" topLeftCell="A1">
      <selection activeCell="X3" sqref="X3"/>
    </sheetView>
  </sheetViews>
  <sheetFormatPr defaultColWidth="8.796875" defaultRowHeight="15"/>
  <cols>
    <col min="1" max="1" width="75.796875" style="3" customWidth="1"/>
    <col min="2" max="16384" width="8.8984375" style="3" customWidth="1"/>
  </cols>
  <sheetData>
    <row r="1" ht="15.75">
      <c r="A1" s="2" t="s">
        <v>958</v>
      </c>
    </row>
    <row r="3" ht="34.5" customHeight="1">
      <c r="A3" s="684" t="s">
        <v>995</v>
      </c>
    </row>
    <row r="4" ht="15.75">
      <c r="A4" s="4"/>
    </row>
    <row r="5" ht="85.5" customHeight="1">
      <c r="A5" s="5" t="s">
        <v>238</v>
      </c>
    </row>
    <row r="6" ht="15.75">
      <c r="A6" s="5"/>
    </row>
    <row r="7" ht="55.5" customHeight="1">
      <c r="A7" s="5" t="s">
        <v>876</v>
      </c>
    </row>
    <row r="8" ht="15.75">
      <c r="A8" s="5"/>
    </row>
    <row r="9" ht="15.75">
      <c r="A9" s="2" t="s">
        <v>241</v>
      </c>
    </row>
    <row r="10" ht="15.75">
      <c r="A10" s="2"/>
    </row>
    <row r="11" ht="15.75">
      <c r="A11" s="4" t="s">
        <v>243</v>
      </c>
    </row>
    <row r="13" ht="38.25" customHeight="1">
      <c r="A13" s="6" t="s">
        <v>598</v>
      </c>
    </row>
    <row r="14" ht="14.25" customHeight="1">
      <c r="A14" s="6"/>
    </row>
    <row r="16" ht="15.75">
      <c r="A16" s="2" t="s">
        <v>297</v>
      </c>
    </row>
    <row r="18" ht="34.5" customHeight="1">
      <c r="A18" s="5" t="s">
        <v>242</v>
      </c>
    </row>
    <row r="19" ht="12" customHeight="1">
      <c r="A19" s="5"/>
    </row>
    <row r="20" ht="16.5" customHeight="1">
      <c r="A20" s="7" t="s">
        <v>206</v>
      </c>
    </row>
    <row r="21" ht="9.75" customHeight="1">
      <c r="A21" s="8"/>
    </row>
    <row r="22" ht="15.75">
      <c r="A22" s="9" t="s">
        <v>217</v>
      </c>
    </row>
    <row r="23" ht="15.75">
      <c r="A23" s="10"/>
    </row>
    <row r="24" ht="85.5" customHeight="1">
      <c r="A24" s="11" t="s">
        <v>225</v>
      </c>
    </row>
    <row r="25" ht="19.5" customHeight="1">
      <c r="A25" s="5"/>
    </row>
    <row r="26" ht="19.5" customHeight="1">
      <c r="A26" s="12" t="s">
        <v>207</v>
      </c>
    </row>
    <row r="28" ht="15.75">
      <c r="A28" s="13" t="s">
        <v>239</v>
      </c>
    </row>
    <row r="30" ht="20.25" customHeight="1">
      <c r="A30" s="5" t="s">
        <v>240</v>
      </c>
    </row>
    <row r="32" ht="15.75">
      <c r="A32" s="2" t="s">
        <v>85</v>
      </c>
    </row>
    <row r="34" ht="69" customHeight="1">
      <c r="A34" s="5" t="s">
        <v>701</v>
      </c>
    </row>
    <row r="35" ht="38.25" customHeight="1">
      <c r="A35" s="5" t="s">
        <v>226</v>
      </c>
    </row>
    <row r="36" ht="51" customHeight="1">
      <c r="A36" s="14" t="s">
        <v>208</v>
      </c>
    </row>
    <row r="37" ht="11.25" customHeight="1"/>
    <row r="38" ht="80.25" customHeight="1">
      <c r="A38" s="5" t="s">
        <v>702</v>
      </c>
    </row>
    <row r="39" ht="67.5" customHeight="1">
      <c r="A39" s="5" t="s">
        <v>273</v>
      </c>
    </row>
    <row r="40" ht="103.5" customHeight="1">
      <c r="A40" s="5" t="s">
        <v>274</v>
      </c>
    </row>
    <row r="41" ht="12.75" customHeight="1"/>
    <row r="42" ht="73.5" customHeight="1">
      <c r="A42" s="671" t="s">
        <v>877</v>
      </c>
    </row>
    <row r="43" ht="69.75" customHeight="1">
      <c r="A43" s="306" t="s">
        <v>563</v>
      </c>
    </row>
    <row r="44" ht="69.75" customHeight="1">
      <c r="A44" s="672" t="s">
        <v>878</v>
      </c>
    </row>
    <row r="45" ht="12.75" customHeight="1"/>
    <row r="46" ht="67.5" customHeight="1">
      <c r="A46" s="5" t="s">
        <v>564</v>
      </c>
    </row>
    <row r="47" ht="37.5" customHeight="1">
      <c r="A47" s="5" t="s">
        <v>565</v>
      </c>
    </row>
    <row r="48" ht="91.5" customHeight="1">
      <c r="A48" s="5" t="s">
        <v>950</v>
      </c>
    </row>
    <row r="49" ht="108" customHeight="1">
      <c r="A49" s="673" t="s">
        <v>913</v>
      </c>
    </row>
    <row r="50" ht="13.5" customHeight="1">
      <c r="A50" s="5"/>
    </row>
    <row r="51" ht="70.5" customHeight="1">
      <c r="A51" s="5" t="s">
        <v>951</v>
      </c>
    </row>
    <row r="52" ht="155.25" customHeight="1">
      <c r="A52" s="5" t="s">
        <v>952</v>
      </c>
    </row>
    <row r="53" ht="42.75" customHeight="1">
      <c r="A53" s="5" t="s">
        <v>953</v>
      </c>
    </row>
    <row r="54" ht="15.75" customHeight="1">
      <c r="A54" s="5"/>
    </row>
    <row r="55" ht="83.25" customHeight="1">
      <c r="A55" s="673" t="s">
        <v>879</v>
      </c>
    </row>
    <row r="56" ht="12.75" customHeight="1"/>
    <row r="57" ht="71.25" customHeight="1">
      <c r="A57" s="5" t="s">
        <v>566</v>
      </c>
    </row>
    <row r="58" ht="45" customHeight="1">
      <c r="A58" s="5" t="s">
        <v>571</v>
      </c>
    </row>
    <row r="59" ht="97.5" customHeight="1">
      <c r="A59" s="5" t="s">
        <v>599</v>
      </c>
    </row>
    <row r="60" ht="42.75" customHeight="1">
      <c r="A60" s="290" t="s">
        <v>572</v>
      </c>
    </row>
    <row r="61" ht="14.25" customHeight="1"/>
    <row r="62" s="5" customFormat="1" ht="58.5" customHeight="1">
      <c r="A62" s="5" t="s">
        <v>567</v>
      </c>
    </row>
    <row r="64" ht="69" customHeight="1">
      <c r="A64" s="5" t="s">
        <v>568</v>
      </c>
    </row>
    <row r="65" ht="15.75" customHeight="1">
      <c r="A65" s="5"/>
    </row>
    <row r="66" ht="167.25" customHeight="1">
      <c r="A66" s="673" t="s">
        <v>880</v>
      </c>
    </row>
    <row r="67" ht="11.25" customHeight="1"/>
    <row r="68" ht="104.25" customHeight="1">
      <c r="A68" s="5" t="s">
        <v>881</v>
      </c>
    </row>
    <row r="69" ht="72.75" customHeight="1">
      <c r="A69" s="673" t="s">
        <v>905</v>
      </c>
    </row>
    <row r="70" ht="117" customHeight="1">
      <c r="A70" s="674" t="s">
        <v>882</v>
      </c>
    </row>
    <row r="71" ht="93" customHeight="1">
      <c r="A71" s="674" t="s">
        <v>883</v>
      </c>
    </row>
    <row r="72" ht="104.25" customHeight="1">
      <c r="A72" s="674" t="s">
        <v>884</v>
      </c>
    </row>
    <row r="73" ht="77.25" customHeight="1">
      <c r="A73" s="5" t="s">
        <v>885</v>
      </c>
    </row>
    <row r="74" ht="112.5" customHeight="1">
      <c r="A74" s="673" t="s">
        <v>886</v>
      </c>
    </row>
    <row r="75" ht="138" customHeight="1">
      <c r="A75" s="5" t="s">
        <v>887</v>
      </c>
    </row>
    <row r="76" ht="81" customHeight="1">
      <c r="A76" s="5" t="s">
        <v>888</v>
      </c>
    </row>
    <row r="77" ht="78.75" customHeight="1">
      <c r="A77" s="5" t="s">
        <v>889</v>
      </c>
    </row>
    <row r="78" ht="99.75" customHeight="1">
      <c r="A78" s="5" t="s">
        <v>890</v>
      </c>
    </row>
    <row r="79" ht="57" customHeight="1">
      <c r="A79" s="5" t="s">
        <v>891</v>
      </c>
    </row>
    <row r="80" ht="111" customHeight="1">
      <c r="A80" s="5" t="s">
        <v>892</v>
      </c>
    </row>
    <row r="81" ht="111.75" customHeight="1">
      <c r="A81" s="450" t="s">
        <v>893</v>
      </c>
    </row>
    <row r="82" ht="110.25" customHeight="1">
      <c r="A82" s="451" t="s">
        <v>894</v>
      </c>
    </row>
    <row r="83" ht="51.75" customHeight="1">
      <c r="A83" s="452" t="s">
        <v>895</v>
      </c>
    </row>
    <row r="84" ht="78.75" customHeight="1">
      <c r="A84" s="673" t="s">
        <v>896</v>
      </c>
    </row>
    <row r="85" ht="78.75" customHeight="1">
      <c r="A85" s="673" t="s">
        <v>906</v>
      </c>
    </row>
    <row r="86" ht="46.5" customHeight="1">
      <c r="A86" s="675" t="s">
        <v>907</v>
      </c>
    </row>
    <row r="87" ht="53.25" customHeight="1">
      <c r="A87" s="674" t="s">
        <v>908</v>
      </c>
    </row>
    <row r="88" ht="125.25" customHeight="1">
      <c r="A88" s="674" t="s">
        <v>909</v>
      </c>
    </row>
    <row r="89" ht="149.25" customHeight="1">
      <c r="A89" s="674" t="s">
        <v>910</v>
      </c>
    </row>
    <row r="90" ht="87" customHeight="1">
      <c r="A90" s="676" t="s">
        <v>911</v>
      </c>
    </row>
    <row r="91" ht="84" customHeight="1">
      <c r="A91" s="677" t="s">
        <v>912</v>
      </c>
    </row>
    <row r="92" ht="30.75" customHeight="1"/>
    <row r="93" ht="162" customHeight="1">
      <c r="A93" s="5" t="s">
        <v>897</v>
      </c>
    </row>
    <row r="94" ht="159.75" customHeight="1">
      <c r="A94" s="5" t="s">
        <v>898</v>
      </c>
    </row>
    <row r="95" ht="45" customHeight="1">
      <c r="A95" s="5" t="s">
        <v>899</v>
      </c>
    </row>
    <row r="96" ht="45" customHeight="1">
      <c r="A96" s="5" t="s">
        <v>900</v>
      </c>
    </row>
    <row r="97" ht="15" customHeight="1"/>
    <row r="98" ht="72" customHeight="1">
      <c r="A98" s="673" t="s">
        <v>901</v>
      </c>
    </row>
    <row r="99" ht="15.75">
      <c r="A99" s="678"/>
    </row>
    <row r="100" ht="54" customHeight="1">
      <c r="A100" s="674" t="s">
        <v>902</v>
      </c>
    </row>
    <row r="101" ht="101.25" customHeight="1">
      <c r="A101" s="674" t="s">
        <v>903</v>
      </c>
    </row>
    <row r="102" ht="131.25" customHeight="1">
      <c r="A102" s="674" t="s">
        <v>904</v>
      </c>
    </row>
  </sheetData>
  <sheetProtection/>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R81" sqref="R81"/>
    </sheetView>
  </sheetViews>
  <sheetFormatPr defaultColWidth="8.796875" defaultRowHeight="15"/>
  <cols>
    <col min="1" max="1" width="8.8984375" style="17" customWidth="1"/>
    <col min="2" max="2" width="17.8984375" style="17" customWidth="1"/>
    <col min="3" max="3" width="15.296875" style="17" customWidth="1"/>
    <col min="4" max="9" width="10.796875" style="17" customWidth="1"/>
    <col min="10" max="16384" width="8.8984375" style="17" customWidth="1"/>
  </cols>
  <sheetData>
    <row r="1" spans="1:9" ht="15.75">
      <c r="A1" s="510"/>
      <c r="B1" s="124">
        <f>inputPrYr!D3</f>
        <v>0</v>
      </c>
      <c r="C1" s="124"/>
      <c r="D1" s="16"/>
      <c r="E1" s="16"/>
      <c r="F1" s="16"/>
      <c r="G1" s="16"/>
      <c r="H1" s="16"/>
      <c r="I1" s="16"/>
    </row>
    <row r="2" spans="1:9" ht="15.75">
      <c r="A2" s="510"/>
      <c r="B2" s="16"/>
      <c r="C2" s="16"/>
      <c r="D2" s="16"/>
      <c r="E2" s="16"/>
      <c r="F2" s="16"/>
      <c r="G2" s="16"/>
      <c r="H2" s="16"/>
      <c r="I2" s="16">
        <f>inputPrYr!$C$6</f>
        <v>0</v>
      </c>
    </row>
    <row r="3" spans="1:9" ht="15.75">
      <c r="A3" s="1005" t="s">
        <v>982</v>
      </c>
      <c r="B3" s="1006"/>
      <c r="C3" s="1006"/>
      <c r="D3" s="1006"/>
      <c r="E3" s="1006"/>
      <c r="F3" s="1006"/>
      <c r="G3" s="1006"/>
      <c r="H3" s="1006"/>
      <c r="I3" s="1006"/>
    </row>
    <row r="4" spans="1:9" ht="15.75">
      <c r="A4" s="510"/>
      <c r="B4" s="16"/>
      <c r="C4" s="132"/>
      <c r="D4" s="133"/>
      <c r="E4" s="133"/>
      <c r="F4" s="16"/>
      <c r="G4" s="16"/>
      <c r="H4" s="16"/>
      <c r="I4" s="16"/>
    </row>
    <row r="5" spans="1:9" ht="21" customHeight="1">
      <c r="A5" s="510"/>
      <c r="B5" s="134" t="s">
        <v>187</v>
      </c>
      <c r="C5" s="747" t="s">
        <v>969</v>
      </c>
      <c r="D5" s="1002" t="str">
        <f>CONCATENATE("Allocation for Year ",I2,"")</f>
        <v>Allocation for Year 0</v>
      </c>
      <c r="E5" s="1003"/>
      <c r="F5" s="1003"/>
      <c r="G5" s="1003"/>
      <c r="H5" s="1004"/>
      <c r="I5" s="511"/>
    </row>
    <row r="6" spans="1:9" ht="15.75">
      <c r="A6" s="510"/>
      <c r="B6" s="135" t="str">
        <f>CONCATENATE("for ",I2-1,"")</f>
        <v>for -1</v>
      </c>
      <c r="C6" s="135" t="str">
        <f>CONCATENATE("Tax Year ",I2-2,"")</f>
        <v>Tax Year -2</v>
      </c>
      <c r="D6" s="103" t="s">
        <v>95</v>
      </c>
      <c r="E6" s="103" t="s">
        <v>96</v>
      </c>
      <c r="F6" s="103" t="s">
        <v>94</v>
      </c>
      <c r="G6" s="756" t="s">
        <v>976</v>
      </c>
      <c r="H6" s="756" t="s">
        <v>977</v>
      </c>
      <c r="I6" s="513"/>
    </row>
    <row r="7" spans="1:9" ht="15.75">
      <c r="A7" s="510"/>
      <c r="B7" s="51" t="str">
        <f>(inputPrYr!B22)</f>
        <v>General</v>
      </c>
      <c r="C7" s="106">
        <f>(inputPrYr!E22)</f>
        <v>0</v>
      </c>
      <c r="D7" s="106">
        <f>IF(inputOth!E40=0,0,D22-SUM(D8:D19))</f>
        <v>0</v>
      </c>
      <c r="E7" s="106">
        <f>IF(inputOth!E41=0,0,E23-SUM(E8:E19))</f>
        <v>0</v>
      </c>
      <c r="F7" s="106">
        <f>IF(inputOth!E42=0,0,F24-SUM(F8:F19))</f>
        <v>0</v>
      </c>
      <c r="G7" s="106">
        <f>IF(inputOth!E43=0,0,G25-SUM(G8:G19))</f>
        <v>0</v>
      </c>
      <c r="H7" s="106">
        <f>IF(inputOth!E44=0,0,H26-SUM(H8:H19))</f>
        <v>0</v>
      </c>
      <c r="I7" s="511"/>
    </row>
    <row r="8" spans="1:9" ht="15.75">
      <c r="A8" s="510"/>
      <c r="B8" s="51" t="str">
        <f>IF(inputPrYr!$B23&gt;"  ",(inputPrYr!$B23),"  ")</f>
        <v>Debt Service</v>
      </c>
      <c r="C8" s="106" t="str">
        <f>IF(inputPrYr!$E23&gt;0,(inputPrYr!$E23),"  ")</f>
        <v>  </v>
      </c>
      <c r="D8" s="106" t="str">
        <f>IF(inputPrYr!E23&gt;0,ROUND(C8*$D$29,0),"  ")</f>
        <v>  </v>
      </c>
      <c r="E8" s="106" t="str">
        <f>IF(inputPrYr!E23&gt;0,ROUND(+C8*E$30,0)," ")</f>
        <v> </v>
      </c>
      <c r="F8" s="106" t="str">
        <f>IF(inputPrYr!E23&gt;0,ROUND(+C8*F$31,0)," ")</f>
        <v> </v>
      </c>
      <c r="G8" s="106" t="str">
        <f>IF(inputPrYr!E23&gt;0,ROUND(C8*G$32,0)," ")</f>
        <v> </v>
      </c>
      <c r="H8" s="106" t="str">
        <f>IF(inputPrYr!E23&gt;0,ROUND(C8*H$33,0)," ")</f>
        <v> </v>
      </c>
      <c r="I8" s="511"/>
    </row>
    <row r="9" spans="1:9" ht="15.75">
      <c r="A9" s="510"/>
      <c r="B9" s="51" t="str">
        <f>IF(inputPrYr!$B24&gt;"  ",(inputPrYr!$B24),"  ")</f>
        <v>Library</v>
      </c>
      <c r="C9" s="106" t="str">
        <f>IF(inputPrYr!$E24&gt;0,(inputPrYr!$E24),"  ")</f>
        <v>  </v>
      </c>
      <c r="D9" s="106" t="str">
        <f>IF(inputPrYr!E24&gt;0,ROUND(C9*$D$29,0),"  ")</f>
        <v>  </v>
      </c>
      <c r="E9" s="106" t="str">
        <f>IF(inputPrYr!E24&gt;0,ROUND(+C9*E$30,0)," ")</f>
        <v> </v>
      </c>
      <c r="F9" s="106" t="str">
        <f>IF(inputPrYr!E24&gt;0,ROUND(+C9*F$31,0)," ")</f>
        <v> </v>
      </c>
      <c r="G9" s="106" t="str">
        <f>IF(inputPrYr!E24&gt;0,ROUND(C9*G$32,0)," ")</f>
        <v> </v>
      </c>
      <c r="H9" s="106" t="str">
        <f>IF(inputPrYr!E24&gt;0,ROUND(C9*H$33,0)," ")</f>
        <v> </v>
      </c>
      <c r="I9" s="511"/>
    </row>
    <row r="10" spans="1:9" ht="15.75">
      <c r="A10" s="510"/>
      <c r="B10" s="51" t="str">
        <f>IF(inputPrYr!$B26&gt;"  ",(inputPrYr!$B26),"  ")</f>
        <v>  </v>
      </c>
      <c r="C10" s="106" t="str">
        <f>IF(inputPrYr!$E26&gt;0,(inputPrYr!$E26),"  ")</f>
        <v>  </v>
      </c>
      <c r="D10" s="106" t="str">
        <f>IF(inputPrYr!E26&gt;0,ROUND(C10*$D$29,0),"  ")</f>
        <v>  </v>
      </c>
      <c r="E10" s="106" t="str">
        <f>IF(inputPrYr!E26&gt;0,ROUND(+C10*E$30,0)," ")</f>
        <v> </v>
      </c>
      <c r="F10" s="106" t="str">
        <f>IF(inputPrYr!E26&gt;0,ROUND(+C10*F$31,0)," ")</f>
        <v> </v>
      </c>
      <c r="G10" s="106" t="str">
        <f>IF(inputPrYr!E26&gt;0,ROUND(C10*G$32,0)," ")</f>
        <v> </v>
      </c>
      <c r="H10" s="106" t="str">
        <f>IF(inputPrYr!E26&gt;0,ROUND(C10*H$33,0)," ")</f>
        <v> </v>
      </c>
      <c r="I10" s="511"/>
    </row>
    <row r="11" spans="1:9" ht="15.75">
      <c r="A11" s="510"/>
      <c r="B11" s="51" t="str">
        <f>IF(inputPrYr!$B27&gt;"  ",(inputPrYr!$B27),"  ")</f>
        <v>  </v>
      </c>
      <c r="C11" s="106" t="str">
        <f>IF(inputPrYr!$E27&gt;0,(inputPrYr!$E27),"  ")</f>
        <v>  </v>
      </c>
      <c r="D11" s="106" t="str">
        <f>IF(inputPrYr!E27&gt;0,ROUND(C11*$D$29,0),"  ")</f>
        <v>  </v>
      </c>
      <c r="E11" s="106" t="str">
        <f>IF(inputPrYr!E27&gt;0,ROUND(+C11*E$30,0)," ")</f>
        <v> </v>
      </c>
      <c r="F11" s="106" t="str">
        <f>IF(inputPrYr!E27&gt;0,ROUND(+C11*F$31,0)," ")</f>
        <v> </v>
      </c>
      <c r="G11" s="106" t="str">
        <f>IF(inputPrYr!E27&gt;0,ROUND(C11*G$32,0)," ")</f>
        <v> </v>
      </c>
      <c r="H11" s="106" t="str">
        <f>IF(inputPrYr!E27&gt;0,ROUND(C11*H$33,0)," ")</f>
        <v> </v>
      </c>
      <c r="I11" s="511"/>
    </row>
    <row r="12" spans="1:9" ht="15.75">
      <c r="A12" s="510"/>
      <c r="B12" s="51" t="str">
        <f>IF(inputPrYr!$B28&gt;"  ",(inputPrYr!$B28),"  ")</f>
        <v>  </v>
      </c>
      <c r="C12" s="106" t="str">
        <f>IF(inputPrYr!$E28&gt;0,(inputPrYr!$E28),"  ")</f>
        <v>  </v>
      </c>
      <c r="D12" s="106" t="str">
        <f>IF(inputPrYr!E28&gt;0,ROUND(C12*$D$29,0),"  ")</f>
        <v>  </v>
      </c>
      <c r="E12" s="106" t="str">
        <f>IF(inputPrYr!E28&gt;0,ROUND(+C12*E$30,0)," ")</f>
        <v> </v>
      </c>
      <c r="F12" s="106" t="str">
        <f>IF(inputPrYr!E28&gt;0,ROUND(+C12*F$31,0)," ")</f>
        <v> </v>
      </c>
      <c r="G12" s="106" t="str">
        <f>IF(inputPrYr!E28&gt;0,ROUND(C12*G$32,0)," ")</f>
        <v> </v>
      </c>
      <c r="H12" s="106" t="str">
        <f>IF(inputPrYr!E28&gt;0,ROUND(C12*H$33,0)," ")</f>
        <v> </v>
      </c>
      <c r="I12" s="511"/>
    </row>
    <row r="13" spans="1:9" ht="15.75">
      <c r="A13" s="510"/>
      <c r="B13" s="51" t="str">
        <f>IF(inputPrYr!$B29&gt;"  ",(inputPrYr!$B29),"  ")</f>
        <v>  </v>
      </c>
      <c r="C13" s="106" t="str">
        <f>IF(inputPrYr!$E29&gt;0,(inputPrYr!$E29),"  ")</f>
        <v>  </v>
      </c>
      <c r="D13" s="106" t="str">
        <f>IF(inputPrYr!E29&gt;0,ROUND(C13*$D$29,0),"  ")</f>
        <v>  </v>
      </c>
      <c r="E13" s="106" t="str">
        <f>IF(inputPrYr!E29&gt;0,ROUND(+C13*E$30,0)," ")</f>
        <v> </v>
      </c>
      <c r="F13" s="106" t="str">
        <f>IF(inputPrYr!E29&gt;0,ROUND(+C13*F$31,0)," ")</f>
        <v> </v>
      </c>
      <c r="G13" s="106" t="str">
        <f>IF(inputPrYr!E29&gt;0,ROUND(C13*G$32,0)," ")</f>
        <v> </v>
      </c>
      <c r="H13" s="106" t="str">
        <f>IF(inputPrYr!E29&gt;0,ROUND(C13*H$33,0)," ")</f>
        <v> </v>
      </c>
      <c r="I13" s="511"/>
    </row>
    <row r="14" spans="1:9" ht="15.75">
      <c r="A14" s="510"/>
      <c r="B14" s="51" t="str">
        <f>IF(inputPrYr!$B30&gt;"  ",(inputPrYr!$B30),"  ")</f>
        <v>  </v>
      </c>
      <c r="C14" s="106" t="str">
        <f>IF(inputPrYr!$E30&gt;0,(inputPrYr!$E30),"  ")</f>
        <v>  </v>
      </c>
      <c r="D14" s="106" t="str">
        <f>IF(inputPrYr!E30&gt;0,ROUND(C14*$D$29,0),"  ")</f>
        <v>  </v>
      </c>
      <c r="E14" s="106" t="str">
        <f>IF(inputPrYr!E30&gt;0,ROUND(+C14*E$30,0)," ")</f>
        <v> </v>
      </c>
      <c r="F14" s="106" t="str">
        <f>IF(inputPrYr!E30&gt;0,ROUND(+C14*F$31,0)," ")</f>
        <v> </v>
      </c>
      <c r="G14" s="106" t="str">
        <f>IF(inputPrYr!E30&gt;0,ROUND(C14*G$32,0)," ")</f>
        <v> </v>
      </c>
      <c r="H14" s="106" t="str">
        <f>IF(inputPrYr!E30&gt;0,ROUND(C14*H$33,0)," ")</f>
        <v> </v>
      </c>
      <c r="I14" s="511"/>
    </row>
    <row r="15" spans="1:9" ht="15.75">
      <c r="A15" s="510"/>
      <c r="B15" s="51" t="str">
        <f>IF(inputPrYr!$B31&gt;"  ",(inputPrYr!$B31),"  ")</f>
        <v>  </v>
      </c>
      <c r="C15" s="106" t="str">
        <f>IF(inputPrYr!$E31&gt;0,(inputPrYr!$E31),"  ")</f>
        <v>  </v>
      </c>
      <c r="D15" s="106" t="str">
        <f>IF(inputPrYr!E31&gt;0,ROUND(C15*$D$29,0),"  ")</f>
        <v>  </v>
      </c>
      <c r="E15" s="106" t="str">
        <f>IF(inputPrYr!E31&gt;0,ROUND(+C15*E$30,0)," ")</f>
        <v> </v>
      </c>
      <c r="F15" s="106" t="str">
        <f>IF(inputPrYr!E31&gt;0,ROUND(+C15*F$31,0)," ")</f>
        <v> </v>
      </c>
      <c r="G15" s="106" t="str">
        <f>IF(inputPrYr!E31&gt;0,ROUND(C15*G$32,0)," ")</f>
        <v> </v>
      </c>
      <c r="H15" s="106" t="str">
        <f>IF(inputPrYr!E31&gt;0,ROUND(C15*H$33,0)," ")</f>
        <v> </v>
      </c>
      <c r="I15" s="511"/>
    </row>
    <row r="16" spans="1:9" ht="15.75">
      <c r="A16" s="510"/>
      <c r="B16" s="51" t="str">
        <f>IF(inputPrYr!$B32&gt;"  ",(inputPrYr!$B32),"  ")</f>
        <v>  </v>
      </c>
      <c r="C16" s="106" t="str">
        <f>IF(inputPrYr!$E32&gt;0,(inputPrYr!$E32),"  ")</f>
        <v>  </v>
      </c>
      <c r="D16" s="106" t="str">
        <f>IF(inputPrYr!E32&gt;0,ROUND(C16*$D$29,0),"  ")</f>
        <v>  </v>
      </c>
      <c r="E16" s="106" t="str">
        <f>IF(inputPrYr!E32&gt;0,ROUND(+C16*E$30,0)," ")</f>
        <v> </v>
      </c>
      <c r="F16" s="106" t="str">
        <f>IF(inputPrYr!E32&gt;0,ROUND(+C16*F$31,0)," ")</f>
        <v> </v>
      </c>
      <c r="G16" s="106" t="str">
        <f>IF(inputPrYr!E32&gt;0,ROUND(C16*G$32,0)," ")</f>
        <v> </v>
      </c>
      <c r="H16" s="106" t="str">
        <f>IF(inputPrYr!E32&gt;0,ROUND(C16*H$33,0)," ")</f>
        <v> </v>
      </c>
      <c r="I16" s="511"/>
    </row>
    <row r="17" spans="1:9" ht="15.75">
      <c r="A17" s="510"/>
      <c r="B17" s="51" t="str">
        <f>IF(inputPrYr!$B33&gt;"  ",(inputPrYr!$B33),"  ")</f>
        <v>  </v>
      </c>
      <c r="C17" s="106" t="str">
        <f>IF(inputPrYr!$E33&gt;0,(inputPrYr!$E33),"  ")</f>
        <v>  </v>
      </c>
      <c r="D17" s="106" t="str">
        <f>IF(inputPrYr!E33&gt;0,ROUND(C17*$D$29,0),"  ")</f>
        <v>  </v>
      </c>
      <c r="E17" s="106" t="str">
        <f>IF(inputPrYr!E33&gt;0,ROUND(+C17*E$30,0)," ")</f>
        <v> </v>
      </c>
      <c r="F17" s="106" t="str">
        <f>IF(inputPrYr!E33&gt;0,ROUND(+C17*F$31,0)," ")</f>
        <v> </v>
      </c>
      <c r="G17" s="106" t="str">
        <f>IF(inputPrYr!E33&gt;0,ROUND(C17*G$32,0)," ")</f>
        <v> </v>
      </c>
      <c r="H17" s="106" t="str">
        <f>IF(inputPrYr!E33&gt;0,ROUND(C17*H$33,0)," ")</f>
        <v> </v>
      </c>
      <c r="I17" s="511"/>
    </row>
    <row r="18" spans="1:9" ht="15.75">
      <c r="A18" s="510"/>
      <c r="B18" s="51" t="str">
        <f>IF(inputPrYr!$B34&gt;"  ",(inputPrYr!$B34),"  ")</f>
        <v>  </v>
      </c>
      <c r="C18" s="106" t="str">
        <f>IF(inputPrYr!$E34&gt;0,(inputPrYr!$E34),"  ")</f>
        <v>  </v>
      </c>
      <c r="D18" s="106" t="str">
        <f>IF(inputPrYr!E34&gt;0,ROUND(C18*$D$29,0),"  ")</f>
        <v>  </v>
      </c>
      <c r="E18" s="106" t="str">
        <f>IF(inputPrYr!E34&gt;0,ROUND(+C18*E$30,0)," ")</f>
        <v> </v>
      </c>
      <c r="F18" s="106" t="str">
        <f>IF(inputPrYr!E34&gt;0,ROUND(+C18*F$31,0)," ")</f>
        <v> </v>
      </c>
      <c r="G18" s="106" t="str">
        <f>IF(inputPrYr!E34&gt;0,ROUND(C18*G$32,0)," ")</f>
        <v> </v>
      </c>
      <c r="H18" s="106" t="str">
        <f>IF(inputPrYr!E34&gt;0,ROUND(C18*H$33,0)," ")</f>
        <v> </v>
      </c>
      <c r="I18" s="511"/>
    </row>
    <row r="19" spans="1:9" ht="15.75">
      <c r="A19" s="510"/>
      <c r="B19" s="51" t="str">
        <f>IF(inputPrYr!$B35&gt;"  ",(inputPrYr!$B35),"  ")</f>
        <v>  </v>
      </c>
      <c r="C19" s="106" t="str">
        <f>IF(inputPrYr!$E35&gt;0,(inputPrYr!$E35),"  ")</f>
        <v>  </v>
      </c>
      <c r="D19" s="106" t="str">
        <f>IF(inputPrYr!E35&gt;0,ROUND(C19*$D$29,0),"  ")</f>
        <v>  </v>
      </c>
      <c r="E19" s="106" t="str">
        <f>IF(inputPrYr!E35&gt;0,ROUND(+C19*E$30,0)," ")</f>
        <v> </v>
      </c>
      <c r="F19" s="106" t="str">
        <f>IF(inputPrYr!E35&gt;0,ROUND(+C19*F$31,0)," ")</f>
        <v> </v>
      </c>
      <c r="G19" s="106" t="str">
        <f>IF(inputPrYr!E35&gt;0,ROUND(C19*G$32,0)," ")</f>
        <v> </v>
      </c>
      <c r="H19" s="106" t="str">
        <f>IF(inputPrYr!E35&gt;0,ROUND(C19*H$33,0)," ")</f>
        <v> </v>
      </c>
      <c r="I19" s="511"/>
    </row>
    <row r="20" spans="1:9" ht="15.75">
      <c r="A20" s="510"/>
      <c r="B20" s="512" t="s">
        <v>19</v>
      </c>
      <c r="C20" s="112">
        <f aca="true" t="shared" si="0" ref="C20:H20">SUM(C7:C19)</f>
        <v>0</v>
      </c>
      <c r="D20" s="112">
        <f t="shared" si="0"/>
        <v>0</v>
      </c>
      <c r="E20" s="112">
        <f t="shared" si="0"/>
        <v>0</v>
      </c>
      <c r="F20" s="112">
        <f t="shared" si="0"/>
        <v>0</v>
      </c>
      <c r="G20" s="112">
        <f t="shared" si="0"/>
        <v>0</v>
      </c>
      <c r="H20" s="112">
        <f t="shared" si="0"/>
        <v>0</v>
      </c>
      <c r="I20" s="511"/>
    </row>
    <row r="21" spans="1:9" ht="15.75">
      <c r="A21" s="510"/>
      <c r="B21" s="16"/>
      <c r="C21" s="16"/>
      <c r="D21" s="16"/>
      <c r="E21" s="16"/>
      <c r="F21" s="16"/>
      <c r="G21" s="16"/>
      <c r="H21" s="16"/>
      <c r="I21" s="16"/>
    </row>
    <row r="22" spans="1:9" ht="15.75">
      <c r="A22" s="510"/>
      <c r="B22" s="19" t="s">
        <v>20</v>
      </c>
      <c r="C22" s="136"/>
      <c r="D22" s="137">
        <f>(inputOth!E40)</f>
        <v>0</v>
      </c>
      <c r="E22" s="136"/>
      <c r="F22" s="16"/>
      <c r="G22" s="16"/>
      <c r="H22" s="16"/>
      <c r="I22" s="16"/>
    </row>
    <row r="23" spans="1:9" ht="15.75">
      <c r="A23" s="510"/>
      <c r="B23" s="19" t="s">
        <v>970</v>
      </c>
      <c r="C23" s="16"/>
      <c r="D23" s="16"/>
      <c r="E23" s="137">
        <f>(inputOth!E41)</f>
        <v>0</v>
      </c>
      <c r="F23" s="16"/>
      <c r="G23" s="16"/>
      <c r="H23" s="16"/>
      <c r="I23" s="16"/>
    </row>
    <row r="24" spans="1:9" ht="15.75">
      <c r="A24" s="510"/>
      <c r="B24" s="19" t="s">
        <v>971</v>
      </c>
      <c r="C24" s="16"/>
      <c r="D24" s="16"/>
      <c r="E24" s="16"/>
      <c r="F24" s="137">
        <f>inputOth!E42</f>
        <v>0</v>
      </c>
      <c r="G24" s="342"/>
      <c r="H24" s="342"/>
      <c r="I24" s="16"/>
    </row>
    <row r="25" spans="1:9" ht="15.75">
      <c r="A25" s="510"/>
      <c r="B25" s="746" t="s">
        <v>972</v>
      </c>
      <c r="C25" s="746"/>
      <c r="D25" s="16"/>
      <c r="E25" s="16"/>
      <c r="F25" s="342"/>
      <c r="G25" s="137">
        <f>inputOth!E43</f>
        <v>0</v>
      </c>
      <c r="H25" s="342"/>
      <c r="I25" s="16"/>
    </row>
    <row r="26" spans="1:9" ht="15.75">
      <c r="A26" s="510"/>
      <c r="B26" s="746" t="s">
        <v>973</v>
      </c>
      <c r="C26" s="16"/>
      <c r="D26" s="16"/>
      <c r="E26" s="16"/>
      <c r="F26" s="342"/>
      <c r="G26" s="342"/>
      <c r="H26" s="137">
        <f>inputOth!E44</f>
        <v>0</v>
      </c>
      <c r="I26" s="16"/>
    </row>
    <row r="27" spans="1:9" ht="15.75">
      <c r="A27" s="510"/>
      <c r="B27" s="753"/>
      <c r="C27" s="751"/>
      <c r="D27" s="751"/>
      <c r="E27" s="751"/>
      <c r="F27" s="754"/>
      <c r="G27" s="754"/>
      <c r="H27" s="754"/>
      <c r="I27" s="44"/>
    </row>
    <row r="28" spans="1:9" ht="15.75">
      <c r="A28" s="510"/>
      <c r="B28" s="755"/>
      <c r="C28" s="752"/>
      <c r="D28" s="752"/>
      <c r="E28" s="752"/>
      <c r="F28" s="754"/>
      <c r="G28" s="754"/>
      <c r="H28" s="754"/>
      <c r="I28" s="16"/>
    </row>
    <row r="29" spans="1:9" ht="15.75">
      <c r="A29" s="510"/>
      <c r="B29" s="755" t="s">
        <v>21</v>
      </c>
      <c r="C29" s="752"/>
      <c r="D29" s="748">
        <f>IF(C20=0,0,D22/C20)</f>
        <v>0</v>
      </c>
      <c r="E29" s="752"/>
      <c r="F29" s="752"/>
      <c r="G29" s="752"/>
      <c r="H29" s="752"/>
      <c r="I29" s="16"/>
    </row>
    <row r="30" spans="1:9" ht="15.75">
      <c r="A30" s="510"/>
      <c r="B30" s="752"/>
      <c r="C30" s="755" t="s">
        <v>22</v>
      </c>
      <c r="D30" s="752"/>
      <c r="E30" s="748">
        <f>IF(C20=0,0,E23/C20)</f>
        <v>0</v>
      </c>
      <c r="F30" s="752"/>
      <c r="G30" s="752"/>
      <c r="H30" s="752"/>
      <c r="I30" s="16"/>
    </row>
    <row r="31" spans="1:9" ht="15.75">
      <c r="A31" s="510"/>
      <c r="B31" s="752"/>
      <c r="C31" s="752"/>
      <c r="D31" s="755" t="s">
        <v>97</v>
      </c>
      <c r="E31" s="752"/>
      <c r="F31" s="748">
        <f>IF(F24=0,0,F24/C20)</f>
        <v>0</v>
      </c>
      <c r="G31" s="749"/>
      <c r="H31" s="749"/>
      <c r="I31" s="16"/>
    </row>
    <row r="32" spans="1:9" ht="15.75">
      <c r="A32" s="510"/>
      <c r="B32" s="752"/>
      <c r="C32" s="752"/>
      <c r="D32" s="755"/>
      <c r="E32" s="750" t="s">
        <v>974</v>
      </c>
      <c r="F32" s="749"/>
      <c r="G32" s="748">
        <f>IF(G25=0,0,G25/C20)</f>
        <v>0</v>
      </c>
      <c r="H32" s="749"/>
      <c r="I32" s="16"/>
    </row>
    <row r="33" spans="1:9" ht="15.75">
      <c r="A33" s="510"/>
      <c r="B33" s="752"/>
      <c r="C33" s="752"/>
      <c r="D33" s="755"/>
      <c r="E33" s="752"/>
      <c r="F33" s="750" t="s">
        <v>975</v>
      </c>
      <c r="G33" s="749"/>
      <c r="H33" s="748">
        <f>IF(H26=0,0,H26/C20)</f>
        <v>0</v>
      </c>
      <c r="I33" s="16"/>
    </row>
    <row r="34" spans="1:9" ht="15.75">
      <c r="A34" s="510"/>
      <c r="B34" s="752"/>
      <c r="C34" s="752"/>
      <c r="D34" s="755"/>
      <c r="E34" s="752"/>
      <c r="F34" s="749"/>
      <c r="G34" s="749"/>
      <c r="H34" s="749"/>
      <c r="I34" s="16"/>
    </row>
    <row r="35" spans="1:9" ht="15.75">
      <c r="A35" s="510"/>
      <c r="B35" s="752"/>
      <c r="C35" s="752"/>
      <c r="D35" s="755"/>
      <c r="E35" s="752"/>
      <c r="F35" s="749"/>
      <c r="G35" s="749"/>
      <c r="H35" s="749"/>
      <c r="I35" s="16"/>
    </row>
    <row r="36" ht="15" customHeight="1"/>
    <row r="37" s="138" customFormat="1"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sheetProtection/>
  <mergeCells count="2">
    <mergeCell ref="D5:H5"/>
    <mergeCell ref="A3:I3"/>
  </mergeCells>
  <printOptions/>
  <pageMargins left="0.5" right="0.5" top="0.5" bottom="0" header="0.25" footer="0"/>
  <pageSetup blackAndWhite="1" fitToHeight="1" fitToWidth="1" horizontalDpi="120" verticalDpi="120" orientation="portrait" scale="70" r:id="rId1"/>
  <headerFooter alignWithMargins="0">
    <oddHeader>&amp;RState of Kansas
City
</oddHeader>
    <oddFooter>&amp;CPage No.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Q77" sqref="Q77"/>
    </sheetView>
  </sheetViews>
  <sheetFormatPr defaultColWidth="8.796875" defaultRowHeight="15"/>
  <cols>
    <col min="1" max="2" width="17.796875" style="3" customWidth="1"/>
    <col min="3" max="6" width="12.796875" style="3" customWidth="1"/>
    <col min="7" max="16384" width="8.8984375" style="3" customWidth="1"/>
  </cols>
  <sheetData>
    <row r="1" spans="1:6" ht="15.75">
      <c r="A1" s="65">
        <f>inputPrYr!D3</f>
        <v>0</v>
      </c>
      <c r="B1" s="65"/>
      <c r="C1" s="67"/>
      <c r="D1" s="67"/>
      <c r="E1" s="67"/>
      <c r="F1" s="67">
        <f>inputPrYr!$C$6</f>
        <v>0</v>
      </c>
    </row>
    <row r="2" spans="1:6" ht="15.75">
      <c r="A2" s="67"/>
      <c r="B2" s="67"/>
      <c r="C2" s="67"/>
      <c r="D2" s="67"/>
      <c r="E2" s="67"/>
      <c r="F2" s="67"/>
    </row>
    <row r="3" spans="1:6" ht="15.75">
      <c r="A3" s="994" t="s">
        <v>137</v>
      </c>
      <c r="B3" s="994"/>
      <c r="C3" s="994"/>
      <c r="D3" s="994"/>
      <c r="E3" s="994"/>
      <c r="F3" s="994"/>
    </row>
    <row r="4" spans="1:6" ht="15.75">
      <c r="A4" s="139"/>
      <c r="B4" s="139"/>
      <c r="C4" s="139"/>
      <c r="D4" s="139"/>
      <c r="E4" s="139"/>
      <c r="F4" s="139"/>
    </row>
    <row r="5" spans="1:6" ht="15.75">
      <c r="A5" s="140" t="s">
        <v>574</v>
      </c>
      <c r="B5" s="140" t="s">
        <v>576</v>
      </c>
      <c r="C5" s="140" t="s">
        <v>46</v>
      </c>
      <c r="D5" s="140" t="s">
        <v>142</v>
      </c>
      <c r="E5" s="140" t="s">
        <v>143</v>
      </c>
      <c r="F5" s="140" t="s">
        <v>180</v>
      </c>
    </row>
    <row r="6" spans="1:6" ht="15.75">
      <c r="A6" s="141" t="s">
        <v>575</v>
      </c>
      <c r="B6" s="141" t="s">
        <v>577</v>
      </c>
      <c r="C6" s="141" t="s">
        <v>181</v>
      </c>
      <c r="D6" s="141" t="s">
        <v>181</v>
      </c>
      <c r="E6" s="141" t="s">
        <v>181</v>
      </c>
      <c r="F6" s="141" t="s">
        <v>182</v>
      </c>
    </row>
    <row r="7" spans="1:6" ht="15" customHeight="1">
      <c r="A7" s="142" t="s">
        <v>183</v>
      </c>
      <c r="B7" s="142" t="s">
        <v>184</v>
      </c>
      <c r="C7" s="143">
        <f>F1-2</f>
        <v>-2</v>
      </c>
      <c r="D7" s="143">
        <f>F1-1</f>
        <v>-1</v>
      </c>
      <c r="E7" s="143">
        <f>F1</f>
        <v>0</v>
      </c>
      <c r="F7" s="142" t="s">
        <v>185</v>
      </c>
    </row>
    <row r="8" spans="1:6" ht="14.25" customHeight="1">
      <c r="A8" s="144"/>
      <c r="B8" s="144"/>
      <c r="C8" s="479"/>
      <c r="D8" s="479"/>
      <c r="E8" s="479"/>
      <c r="F8" s="144"/>
    </row>
    <row r="9" spans="1:6" ht="15" customHeight="1">
      <c r="A9" s="145"/>
      <c r="B9" s="145"/>
      <c r="C9" s="480"/>
      <c r="D9" s="480"/>
      <c r="E9" s="480"/>
      <c r="F9" s="145"/>
    </row>
    <row r="10" spans="1:6" ht="15" customHeight="1">
      <c r="A10" s="145"/>
      <c r="B10" s="145"/>
      <c r="C10" s="480"/>
      <c r="D10" s="480"/>
      <c r="E10" s="480"/>
      <c r="F10" s="145"/>
    </row>
    <row r="11" spans="1:6" ht="15" customHeight="1">
      <c r="A11" s="145"/>
      <c r="B11" s="145"/>
      <c r="C11" s="480"/>
      <c r="D11" s="480"/>
      <c r="E11" s="480"/>
      <c r="F11" s="145"/>
    </row>
    <row r="12" spans="1:6" ht="15" customHeight="1">
      <c r="A12" s="145"/>
      <c r="B12" s="145"/>
      <c r="C12" s="480"/>
      <c r="D12" s="480"/>
      <c r="E12" s="480"/>
      <c r="F12" s="145"/>
    </row>
    <row r="13" spans="1:6" ht="15" customHeight="1">
      <c r="A13" s="145"/>
      <c r="B13" s="145"/>
      <c r="C13" s="480"/>
      <c r="D13" s="480"/>
      <c r="E13" s="480"/>
      <c r="F13" s="145"/>
    </row>
    <row r="14" spans="1:6" ht="15" customHeight="1">
      <c r="A14" s="145"/>
      <c r="B14" s="145"/>
      <c r="C14" s="480"/>
      <c r="D14" s="480"/>
      <c r="E14" s="480"/>
      <c r="F14" s="145"/>
    </row>
    <row r="15" spans="1:6" ht="15" customHeight="1">
      <c r="A15" s="145"/>
      <c r="B15" s="145"/>
      <c r="C15" s="480"/>
      <c r="D15" s="480"/>
      <c r="E15" s="480"/>
      <c r="F15" s="145"/>
    </row>
    <row r="16" spans="1:6" ht="15" customHeight="1">
      <c r="A16" s="145"/>
      <c r="B16" s="145"/>
      <c r="C16" s="480"/>
      <c r="D16" s="480"/>
      <c r="E16" s="480"/>
      <c r="F16" s="145"/>
    </row>
    <row r="17" spans="1:6" ht="15" customHeight="1">
      <c r="A17" s="145"/>
      <c r="B17" s="145"/>
      <c r="C17" s="480"/>
      <c r="D17" s="480"/>
      <c r="E17" s="480"/>
      <c r="F17" s="145"/>
    </row>
    <row r="18" spans="1:6" ht="15" customHeight="1">
      <c r="A18" s="145"/>
      <c r="B18" s="145"/>
      <c r="C18" s="480"/>
      <c r="D18" s="480"/>
      <c r="E18" s="480"/>
      <c r="F18" s="145"/>
    </row>
    <row r="19" spans="1:6" ht="15" customHeight="1">
      <c r="A19" s="145"/>
      <c r="B19" s="145"/>
      <c r="C19" s="480"/>
      <c r="D19" s="480"/>
      <c r="E19" s="480"/>
      <c r="F19" s="145"/>
    </row>
    <row r="20" spans="1:6" ht="15" customHeight="1">
      <c r="A20" s="145"/>
      <c r="B20" s="145"/>
      <c r="C20" s="480"/>
      <c r="D20" s="480"/>
      <c r="E20" s="480"/>
      <c r="F20" s="145"/>
    </row>
    <row r="21" spans="1:6" ht="15" customHeight="1">
      <c r="A21" s="145"/>
      <c r="B21" s="145"/>
      <c r="C21" s="480"/>
      <c r="D21" s="480"/>
      <c r="E21" s="480"/>
      <c r="F21" s="145"/>
    </row>
    <row r="22" spans="1:6" ht="15" customHeight="1">
      <c r="A22" s="145"/>
      <c r="B22" s="145"/>
      <c r="C22" s="480"/>
      <c r="D22" s="480"/>
      <c r="E22" s="480"/>
      <c r="F22" s="145"/>
    </row>
    <row r="23" spans="1:6" ht="15" customHeight="1">
      <c r="A23" s="145"/>
      <c r="B23" s="145"/>
      <c r="C23" s="480"/>
      <c r="D23" s="480"/>
      <c r="E23" s="480"/>
      <c r="F23" s="145"/>
    </row>
    <row r="24" spans="1:6" ht="15" customHeight="1">
      <c r="A24" s="145"/>
      <c r="B24" s="145"/>
      <c r="C24" s="480"/>
      <c r="D24" s="480"/>
      <c r="E24" s="480"/>
      <c r="F24" s="145"/>
    </row>
    <row r="25" spans="1:6" ht="15" customHeight="1">
      <c r="A25" s="145"/>
      <c r="B25" s="145"/>
      <c r="C25" s="480"/>
      <c r="D25" s="480"/>
      <c r="E25" s="480"/>
      <c r="F25" s="145"/>
    </row>
    <row r="26" spans="1:6" ht="15" customHeight="1">
      <c r="A26" s="146"/>
      <c r="B26" s="147" t="s">
        <v>12</v>
      </c>
      <c r="C26" s="478">
        <f>SUM(C8:C25)</f>
        <v>0</v>
      </c>
      <c r="D26" s="478">
        <f>SUM(D8:D25)</f>
        <v>0</v>
      </c>
      <c r="E26" s="478">
        <f>SUM(E8:E25)</f>
        <v>0</v>
      </c>
      <c r="F26" s="146"/>
    </row>
    <row r="27" spans="1:6" ht="15" customHeight="1">
      <c r="A27" s="146"/>
      <c r="B27" s="149" t="s">
        <v>578</v>
      </c>
      <c r="C27" s="111"/>
      <c r="D27" s="145"/>
      <c r="E27" s="145"/>
      <c r="F27" s="146"/>
    </row>
    <row r="28" spans="1:6" ht="15" customHeight="1">
      <c r="A28" s="146"/>
      <c r="B28" s="147" t="s">
        <v>186</v>
      </c>
      <c r="C28" s="478">
        <f>C26</f>
        <v>0</v>
      </c>
      <c r="D28" s="478">
        <f>SUM(D26-D27)</f>
        <v>0</v>
      </c>
      <c r="E28" s="478">
        <f>SUM(E26-E27)</f>
        <v>0</v>
      </c>
      <c r="F28" s="146"/>
    </row>
    <row r="29" spans="1:6" ht="15" customHeight="1">
      <c r="A29" s="59"/>
      <c r="B29" s="59"/>
      <c r="C29" s="59"/>
      <c r="D29" s="59"/>
      <c r="E29" s="59"/>
      <c r="F29" s="59"/>
    </row>
    <row r="30" spans="1:6" ht="15" customHeight="1">
      <c r="A30" s="59"/>
      <c r="B30" s="59"/>
      <c r="C30" s="59"/>
      <c r="D30" s="59"/>
      <c r="E30" s="59"/>
      <c r="F30" s="59"/>
    </row>
    <row r="31" spans="1:6" ht="21.75" customHeight="1">
      <c r="A31" s="309" t="s">
        <v>573</v>
      </c>
      <c r="B31" s="310" t="str">
        <f>CONCATENATE("Adjustments are required only if the transfer is being made in ",D7," and/or ",E7," from a non-budgeted fund.")</f>
        <v>Adjustments are required only if the transfer is being made in -1 and/or 0 from a non-budgeted fund.</v>
      </c>
      <c r="C31" s="59"/>
      <c r="D31" s="59"/>
      <c r="E31" s="59"/>
      <c r="F31" s="59"/>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12.xml><?xml version="1.0" encoding="utf-8"?>
<worksheet xmlns="http://schemas.openxmlformats.org/spreadsheetml/2006/main" xmlns:r="http://schemas.openxmlformats.org/officeDocument/2006/relationships">
  <dimension ref="A1:A68"/>
  <sheetViews>
    <sheetView zoomScalePageLayoutView="0" workbookViewId="0" topLeftCell="A1">
      <selection activeCell="N65" sqref="N65"/>
    </sheetView>
  </sheetViews>
  <sheetFormatPr defaultColWidth="8.796875" defaultRowHeight="15"/>
  <cols>
    <col min="1" max="1" width="70.59765625" style="285" customWidth="1"/>
    <col min="2" max="16384" width="8.8984375" style="285" customWidth="1"/>
  </cols>
  <sheetData>
    <row r="1" ht="18.75">
      <c r="A1" s="287" t="s">
        <v>314</v>
      </c>
    </row>
    <row r="2" ht="18.75">
      <c r="A2" s="287"/>
    </row>
    <row r="3" ht="18.75">
      <c r="A3" s="287"/>
    </row>
    <row r="4" ht="51.75" customHeight="1">
      <c r="A4" s="429" t="s">
        <v>696</v>
      </c>
    </row>
    <row r="5" ht="18.75">
      <c r="A5" s="287"/>
    </row>
    <row r="6" ht="15.75">
      <c r="A6" s="288"/>
    </row>
    <row r="7" ht="47.25">
      <c r="A7" s="289" t="s">
        <v>315</v>
      </c>
    </row>
    <row r="8" ht="15.75">
      <c r="A8" s="288"/>
    </row>
    <row r="9" ht="15.75">
      <c r="A9" s="288"/>
    </row>
    <row r="10" ht="63">
      <c r="A10" s="289" t="s">
        <v>316</v>
      </c>
    </row>
    <row r="11" ht="15.75">
      <c r="A11" s="430"/>
    </row>
    <row r="12" ht="15.75">
      <c r="A12" s="288"/>
    </row>
    <row r="13" ht="47.25">
      <c r="A13" s="289" t="s">
        <v>317</v>
      </c>
    </row>
    <row r="14" ht="15.75">
      <c r="A14" s="430"/>
    </row>
    <row r="15" ht="15.75">
      <c r="A15" s="288"/>
    </row>
    <row r="16" ht="47.25">
      <c r="A16" s="289" t="s">
        <v>318</v>
      </c>
    </row>
    <row r="17" ht="15.75">
      <c r="A17" s="430"/>
    </row>
    <row r="18" ht="15.75">
      <c r="A18" s="430"/>
    </row>
    <row r="19" ht="47.25">
      <c r="A19" s="289" t="s">
        <v>319</v>
      </c>
    </row>
    <row r="20" ht="15.75">
      <c r="A20" s="430"/>
    </row>
    <row r="21" ht="15.75">
      <c r="A21" s="430"/>
    </row>
    <row r="22" ht="47.25">
      <c r="A22" s="289" t="s">
        <v>320</v>
      </c>
    </row>
    <row r="23" ht="15.75">
      <c r="A23" s="430"/>
    </row>
    <row r="24" ht="15.75">
      <c r="A24" s="430"/>
    </row>
    <row r="25" ht="31.5">
      <c r="A25" s="289" t="s">
        <v>321</v>
      </c>
    </row>
    <row r="26" ht="15.75">
      <c r="A26" s="288"/>
    </row>
    <row r="27" ht="15.75">
      <c r="A27" s="288"/>
    </row>
    <row r="28" ht="60">
      <c r="A28" s="431" t="s">
        <v>322</v>
      </c>
    </row>
    <row r="29" ht="15">
      <c r="A29" s="432"/>
    </row>
    <row r="30" ht="15">
      <c r="A30" s="432"/>
    </row>
    <row r="31" ht="47.25">
      <c r="A31" s="289" t="s">
        <v>323</v>
      </c>
    </row>
    <row r="32" ht="15.75">
      <c r="A32" s="288"/>
    </row>
    <row r="33" ht="15.75">
      <c r="A33" s="288"/>
    </row>
    <row r="34" ht="66.75" customHeight="1">
      <c r="A34" s="428" t="s">
        <v>697</v>
      </c>
    </row>
    <row r="35" ht="15.75">
      <c r="A35" s="288"/>
    </row>
    <row r="36" ht="15.75">
      <c r="A36" s="288"/>
    </row>
    <row r="37" ht="63">
      <c r="A37" s="433" t="s">
        <v>324</v>
      </c>
    </row>
    <row r="38" ht="15.75">
      <c r="A38" s="430"/>
    </row>
    <row r="39" ht="15.75">
      <c r="A39" s="288"/>
    </row>
    <row r="40" ht="63">
      <c r="A40" s="289" t="s">
        <v>325</v>
      </c>
    </row>
    <row r="41" ht="15.75">
      <c r="A41" s="430"/>
    </row>
    <row r="42" ht="15.75">
      <c r="A42" s="430"/>
    </row>
    <row r="43" ht="82.5" customHeight="1">
      <c r="A43" s="426" t="s">
        <v>698</v>
      </c>
    </row>
    <row r="44" ht="15.75">
      <c r="A44" s="430"/>
    </row>
    <row r="45" ht="15.75">
      <c r="A45" s="430"/>
    </row>
    <row r="46" ht="69" customHeight="1">
      <c r="A46" s="426" t="s">
        <v>699</v>
      </c>
    </row>
    <row r="47" ht="15.75">
      <c r="A47" s="430"/>
    </row>
    <row r="48" ht="15.75">
      <c r="A48" s="430"/>
    </row>
    <row r="49" ht="69" customHeight="1">
      <c r="A49" s="426" t="s">
        <v>700</v>
      </c>
    </row>
    <row r="50" ht="15.75">
      <c r="A50" s="430"/>
    </row>
    <row r="51" ht="15.75">
      <c r="A51" s="430"/>
    </row>
    <row r="52" ht="54.75" customHeight="1">
      <c r="A52" s="426" t="s">
        <v>834</v>
      </c>
    </row>
    <row r="53" ht="15.75">
      <c r="A53" s="430"/>
    </row>
    <row r="54" ht="15.75">
      <c r="A54" s="430"/>
    </row>
    <row r="55" ht="63">
      <c r="A55" s="289" t="s">
        <v>326</v>
      </c>
    </row>
    <row r="56" ht="15.75">
      <c r="A56" s="430"/>
    </row>
    <row r="57" ht="15.75">
      <c r="A57" s="430"/>
    </row>
    <row r="58" ht="63">
      <c r="A58" s="289" t="s">
        <v>327</v>
      </c>
    </row>
    <row r="59" ht="15.75">
      <c r="A59" s="430"/>
    </row>
    <row r="60" ht="15.75">
      <c r="A60" s="430"/>
    </row>
    <row r="61" ht="47.25">
      <c r="A61" s="289" t="s">
        <v>328</v>
      </c>
    </row>
    <row r="62" ht="15.75">
      <c r="A62" s="430"/>
    </row>
    <row r="63" ht="15.75">
      <c r="A63" s="430"/>
    </row>
    <row r="64" ht="47.25">
      <c r="A64" s="289" t="s">
        <v>329</v>
      </c>
    </row>
    <row r="65" ht="15.75">
      <c r="A65" s="430"/>
    </row>
    <row r="66" ht="15.75">
      <c r="A66" s="430"/>
    </row>
    <row r="67" ht="78.75">
      <c r="A67" s="289" t="s">
        <v>330</v>
      </c>
    </row>
    <row r="68" ht="15">
      <c r="A68" s="434"/>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Y107" sqref="Y107"/>
    </sheetView>
  </sheetViews>
  <sheetFormatPr defaultColWidth="8.796875" defaultRowHeight="15"/>
  <cols>
    <col min="1" max="1" width="4.59765625" style="17" customWidth="1"/>
    <col min="2" max="2" width="20.796875" style="17" customWidth="1"/>
    <col min="3" max="3" width="9.296875" style="17" customWidth="1"/>
    <col min="4" max="4" width="9.09765625" style="17" customWidth="1"/>
    <col min="5" max="5" width="8.796875" style="17" customWidth="1"/>
    <col min="6" max="6" width="12.69921875" style="17" customWidth="1"/>
    <col min="7" max="7" width="13.69921875" style="17" customWidth="1"/>
    <col min="8" max="9" width="9.296875" style="17" customWidth="1"/>
    <col min="10" max="13" width="9.796875" style="17" customWidth="1"/>
    <col min="14" max="16384" width="8.8984375" style="17" customWidth="1"/>
  </cols>
  <sheetData>
    <row r="1" spans="2:13" ht="18.75" customHeight="1">
      <c r="B1" s="124">
        <f>inputPrYr!$D$3</f>
        <v>0</v>
      </c>
      <c r="C1" s="16"/>
      <c r="D1" s="16"/>
      <c r="E1" s="16"/>
      <c r="F1" s="16"/>
      <c r="G1" s="16"/>
      <c r="H1" s="16"/>
      <c r="I1" s="16"/>
      <c r="J1" s="16"/>
      <c r="K1" s="16"/>
      <c r="L1" s="16"/>
      <c r="M1" s="150">
        <f>inputPrYr!$C$6</f>
        <v>0</v>
      </c>
    </row>
    <row r="2" spans="2:13" ht="15.75">
      <c r="B2" s="124"/>
      <c r="C2" s="16"/>
      <c r="D2" s="16"/>
      <c r="E2" s="16"/>
      <c r="F2" s="16"/>
      <c r="G2" s="16"/>
      <c r="H2" s="16"/>
      <c r="I2" s="16"/>
      <c r="J2" s="16"/>
      <c r="K2" s="16"/>
      <c r="L2" s="16"/>
      <c r="M2" s="120"/>
    </row>
    <row r="3" spans="2:13" ht="15.75">
      <c r="B3" s="151" t="s">
        <v>93</v>
      </c>
      <c r="C3" s="23"/>
      <c r="D3" s="23"/>
      <c r="E3" s="23"/>
      <c r="F3" s="23"/>
      <c r="G3" s="23"/>
      <c r="H3" s="23"/>
      <c r="I3" s="23"/>
      <c r="J3" s="23"/>
      <c r="K3" s="23"/>
      <c r="L3" s="23"/>
      <c r="M3" s="23"/>
    </row>
    <row r="4" spans="2:13" ht="15.75">
      <c r="B4" s="16"/>
      <c r="C4" s="152"/>
      <c r="D4" s="152"/>
      <c r="E4" s="152"/>
      <c r="F4" s="152"/>
      <c r="G4" s="152"/>
      <c r="H4" s="152"/>
      <c r="I4" s="152"/>
      <c r="J4" s="152"/>
      <c r="K4" s="152"/>
      <c r="L4" s="152"/>
      <c r="M4" s="152"/>
    </row>
    <row r="5" spans="2:13" ht="15.75">
      <c r="B5" s="107"/>
      <c r="C5" s="134" t="s">
        <v>61</v>
      </c>
      <c r="D5" s="134" t="s">
        <v>61</v>
      </c>
      <c r="E5" s="134" t="s">
        <v>75</v>
      </c>
      <c r="F5" s="134"/>
      <c r="G5" s="134" t="s">
        <v>175</v>
      </c>
      <c r="H5" s="16"/>
      <c r="I5" s="16"/>
      <c r="J5" s="153" t="s">
        <v>62</v>
      </c>
      <c r="K5" s="154"/>
      <c r="L5" s="153" t="s">
        <v>62</v>
      </c>
      <c r="M5" s="154"/>
    </row>
    <row r="6" spans="2:13" ht="15.75">
      <c r="B6" s="101" t="s">
        <v>817</v>
      </c>
      <c r="C6" s="101" t="s">
        <v>63</v>
      </c>
      <c r="D6" s="101" t="s">
        <v>176</v>
      </c>
      <c r="E6" s="101" t="s">
        <v>64</v>
      </c>
      <c r="F6" s="101" t="s">
        <v>17</v>
      </c>
      <c r="G6" s="101" t="s">
        <v>177</v>
      </c>
      <c r="H6" s="1007" t="s">
        <v>65</v>
      </c>
      <c r="I6" s="1008"/>
      <c r="J6" s="1009">
        <f>M1-1</f>
        <v>-1</v>
      </c>
      <c r="K6" s="1010"/>
      <c r="L6" s="1009">
        <f>M1</f>
        <v>0</v>
      </c>
      <c r="M6" s="1010"/>
    </row>
    <row r="7" spans="2:13" ht="15.75">
      <c r="B7" s="104" t="s">
        <v>818</v>
      </c>
      <c r="C7" s="104" t="s">
        <v>66</v>
      </c>
      <c r="D7" s="104" t="s">
        <v>178</v>
      </c>
      <c r="E7" s="104" t="s">
        <v>41</v>
      </c>
      <c r="F7" s="104" t="s">
        <v>67</v>
      </c>
      <c r="G7" s="155" t="str">
        <f>CONCATENATE("Jan 1,",M1-1,"")</f>
        <v>Jan 1,-1</v>
      </c>
      <c r="H7" s="111" t="s">
        <v>75</v>
      </c>
      <c r="I7" s="111" t="s">
        <v>77</v>
      </c>
      <c r="J7" s="111" t="s">
        <v>75</v>
      </c>
      <c r="K7" s="111" t="s">
        <v>77</v>
      </c>
      <c r="L7" s="111" t="s">
        <v>75</v>
      </c>
      <c r="M7" s="111" t="s">
        <v>77</v>
      </c>
    </row>
    <row r="8" spans="2:13" ht="15.75">
      <c r="B8" s="156" t="s">
        <v>68</v>
      </c>
      <c r="C8" s="34"/>
      <c r="D8" s="34"/>
      <c r="E8" s="157"/>
      <c r="F8" s="158"/>
      <c r="G8" s="158"/>
      <c r="H8" s="34"/>
      <c r="I8" s="34"/>
      <c r="J8" s="158"/>
      <c r="K8" s="158"/>
      <c r="L8" s="158"/>
      <c r="M8" s="158"/>
    </row>
    <row r="9" spans="2:13" ht="15.75">
      <c r="B9" s="39"/>
      <c r="C9" s="312"/>
      <c r="D9" s="312"/>
      <c r="E9" s="159"/>
      <c r="F9" s="160"/>
      <c r="G9" s="161"/>
      <c r="H9" s="162"/>
      <c r="I9" s="162"/>
      <c r="J9" s="161"/>
      <c r="K9" s="161"/>
      <c r="L9" s="161"/>
      <c r="M9" s="161"/>
    </row>
    <row r="10" spans="2:13" ht="15.75">
      <c r="B10" s="39"/>
      <c r="C10" s="312"/>
      <c r="D10" s="312"/>
      <c r="E10" s="159"/>
      <c r="F10" s="160"/>
      <c r="G10" s="161"/>
      <c r="H10" s="162"/>
      <c r="I10" s="162"/>
      <c r="J10" s="161"/>
      <c r="K10" s="161"/>
      <c r="L10" s="161"/>
      <c r="M10" s="161"/>
    </row>
    <row r="11" spans="2:13" ht="15.75">
      <c r="B11" s="39"/>
      <c r="C11" s="312"/>
      <c r="D11" s="312"/>
      <c r="E11" s="159"/>
      <c r="F11" s="160"/>
      <c r="G11" s="161"/>
      <c r="H11" s="162"/>
      <c r="I11" s="162"/>
      <c r="J11" s="161"/>
      <c r="K11" s="161"/>
      <c r="L11" s="161"/>
      <c r="M11" s="161"/>
    </row>
    <row r="12" spans="2:13" ht="15.75">
      <c r="B12" s="39"/>
      <c r="C12" s="312"/>
      <c r="D12" s="312"/>
      <c r="E12" s="159"/>
      <c r="F12" s="160"/>
      <c r="G12" s="161"/>
      <c r="H12" s="162"/>
      <c r="I12" s="162"/>
      <c r="J12" s="161"/>
      <c r="K12" s="161"/>
      <c r="L12" s="161"/>
      <c r="M12" s="161"/>
    </row>
    <row r="13" spans="2:13" ht="15.75">
      <c r="B13" s="39"/>
      <c r="C13" s="312"/>
      <c r="D13" s="312"/>
      <c r="E13" s="159"/>
      <c r="F13" s="160"/>
      <c r="G13" s="161"/>
      <c r="H13" s="162"/>
      <c r="I13" s="162"/>
      <c r="J13" s="161"/>
      <c r="K13" s="161"/>
      <c r="L13" s="161"/>
      <c r="M13" s="161"/>
    </row>
    <row r="14" spans="2:13" ht="15.75">
      <c r="B14" s="39"/>
      <c r="C14" s="312"/>
      <c r="D14" s="312"/>
      <c r="E14" s="159"/>
      <c r="F14" s="160"/>
      <c r="G14" s="161"/>
      <c r="H14" s="162"/>
      <c r="I14" s="162"/>
      <c r="J14" s="161"/>
      <c r="K14" s="161"/>
      <c r="L14" s="161"/>
      <c r="M14" s="161"/>
    </row>
    <row r="15" spans="2:13" ht="15.75">
      <c r="B15" s="39"/>
      <c r="C15" s="312"/>
      <c r="D15" s="312"/>
      <c r="E15" s="159"/>
      <c r="F15" s="160"/>
      <c r="G15" s="161"/>
      <c r="H15" s="162"/>
      <c r="I15" s="162"/>
      <c r="J15" s="161"/>
      <c r="K15" s="161"/>
      <c r="L15" s="161"/>
      <c r="M15" s="161"/>
    </row>
    <row r="16" spans="2:13" ht="15.75">
      <c r="B16" s="39"/>
      <c r="C16" s="312"/>
      <c r="D16" s="312"/>
      <c r="E16" s="159"/>
      <c r="F16" s="160"/>
      <c r="G16" s="161"/>
      <c r="H16" s="162"/>
      <c r="I16" s="162"/>
      <c r="J16" s="161"/>
      <c r="K16" s="161"/>
      <c r="L16" s="161"/>
      <c r="M16" s="161"/>
    </row>
    <row r="17" spans="2:13" ht="15.75">
      <c r="B17" s="39"/>
      <c r="C17" s="312"/>
      <c r="D17" s="312"/>
      <c r="E17" s="159"/>
      <c r="F17" s="160"/>
      <c r="G17" s="161"/>
      <c r="H17" s="162"/>
      <c r="I17" s="162"/>
      <c r="J17" s="161"/>
      <c r="K17" s="161"/>
      <c r="L17" s="161"/>
      <c r="M17" s="161"/>
    </row>
    <row r="18" spans="2:13" ht="15.75">
      <c r="B18" s="39"/>
      <c r="C18" s="312"/>
      <c r="D18" s="312"/>
      <c r="E18" s="159"/>
      <c r="F18" s="160"/>
      <c r="G18" s="161"/>
      <c r="H18" s="162"/>
      <c r="I18" s="162"/>
      <c r="J18" s="161"/>
      <c r="K18" s="161"/>
      <c r="L18" s="161"/>
      <c r="M18" s="161"/>
    </row>
    <row r="19" spans="2:13" ht="15.75">
      <c r="B19" s="39"/>
      <c r="C19" s="312"/>
      <c r="D19" s="312"/>
      <c r="E19" s="159"/>
      <c r="F19" s="160"/>
      <c r="G19" s="161"/>
      <c r="H19" s="162"/>
      <c r="I19" s="162"/>
      <c r="J19" s="161"/>
      <c r="K19" s="161"/>
      <c r="L19" s="161"/>
      <c r="M19" s="161"/>
    </row>
    <row r="20" spans="2:13" ht="15.75">
      <c r="B20" s="163" t="s">
        <v>69</v>
      </c>
      <c r="C20" s="164"/>
      <c r="D20" s="164"/>
      <c r="E20" s="165"/>
      <c r="F20" s="166"/>
      <c r="G20" s="167">
        <f>SUM(G9:G19)</f>
        <v>0</v>
      </c>
      <c r="H20" s="168"/>
      <c r="I20" s="168"/>
      <c r="J20" s="167">
        <f>SUM(J9:J19)</f>
        <v>0</v>
      </c>
      <c r="K20" s="167">
        <f>SUM(K9:K19)</f>
        <v>0</v>
      </c>
      <c r="L20" s="167">
        <f>SUM(L9:L19)</f>
        <v>0</v>
      </c>
      <c r="M20" s="167">
        <f>SUM(M9:M19)</f>
        <v>0</v>
      </c>
    </row>
    <row r="21" spans="2:13" ht="15.75">
      <c r="B21" s="156" t="s">
        <v>70</v>
      </c>
      <c r="C21" s="169"/>
      <c r="D21" s="169"/>
      <c r="E21" s="170"/>
      <c r="F21" s="148"/>
      <c r="G21" s="148"/>
      <c r="H21" s="171"/>
      <c r="I21" s="171"/>
      <c r="J21" s="148"/>
      <c r="K21" s="148"/>
      <c r="L21" s="148"/>
      <c r="M21" s="148"/>
    </row>
    <row r="22" spans="2:13" ht="15.75">
      <c r="B22" s="39"/>
      <c r="C22" s="312"/>
      <c r="D22" s="312"/>
      <c r="E22" s="159"/>
      <c r="F22" s="160"/>
      <c r="G22" s="161"/>
      <c r="H22" s="162"/>
      <c r="I22" s="162"/>
      <c r="J22" s="161"/>
      <c r="K22" s="161"/>
      <c r="L22" s="161"/>
      <c r="M22" s="161"/>
    </row>
    <row r="23" spans="2:13" ht="15.75">
      <c r="B23" s="39"/>
      <c r="C23" s="312"/>
      <c r="D23" s="312"/>
      <c r="E23" s="159"/>
      <c r="F23" s="160"/>
      <c r="G23" s="161"/>
      <c r="H23" s="162"/>
      <c r="I23" s="162"/>
      <c r="J23" s="161"/>
      <c r="K23" s="161"/>
      <c r="L23" s="161"/>
      <c r="M23" s="161"/>
    </row>
    <row r="24" spans="2:13" ht="15.75">
      <c r="B24" s="39"/>
      <c r="C24" s="312"/>
      <c r="D24" s="312"/>
      <c r="E24" s="159"/>
      <c r="F24" s="160"/>
      <c r="G24" s="161"/>
      <c r="H24" s="162"/>
      <c r="I24" s="162"/>
      <c r="J24" s="161"/>
      <c r="K24" s="161"/>
      <c r="L24" s="161"/>
      <c r="M24" s="161"/>
    </row>
    <row r="25" spans="2:13" ht="15.75">
      <c r="B25" s="39"/>
      <c r="C25" s="312"/>
      <c r="D25" s="312"/>
      <c r="E25" s="159"/>
      <c r="F25" s="160"/>
      <c r="G25" s="161"/>
      <c r="H25" s="162"/>
      <c r="I25" s="162"/>
      <c r="J25" s="161"/>
      <c r="K25" s="161"/>
      <c r="L25" s="161"/>
      <c r="M25" s="161"/>
    </row>
    <row r="26" spans="2:13" ht="15.75">
      <c r="B26" s="39"/>
      <c r="C26" s="312"/>
      <c r="D26" s="312"/>
      <c r="E26" s="159"/>
      <c r="F26" s="160"/>
      <c r="G26" s="161"/>
      <c r="H26" s="162"/>
      <c r="I26" s="162"/>
      <c r="J26" s="161"/>
      <c r="K26" s="161"/>
      <c r="L26" s="161"/>
      <c r="M26" s="161"/>
    </row>
    <row r="27" spans="2:13" ht="15.75">
      <c r="B27" s="39"/>
      <c r="C27" s="312"/>
      <c r="D27" s="312"/>
      <c r="E27" s="159"/>
      <c r="F27" s="160"/>
      <c r="G27" s="161"/>
      <c r="H27" s="162"/>
      <c r="I27" s="162"/>
      <c r="J27" s="161"/>
      <c r="K27" s="161"/>
      <c r="L27" s="161"/>
      <c r="M27" s="161"/>
    </row>
    <row r="28" spans="2:13" ht="15.75">
      <c r="B28" s="39"/>
      <c r="C28" s="312"/>
      <c r="D28" s="312"/>
      <c r="E28" s="159"/>
      <c r="F28" s="160"/>
      <c r="G28" s="161"/>
      <c r="H28" s="162"/>
      <c r="I28" s="162"/>
      <c r="J28" s="161"/>
      <c r="K28" s="161"/>
      <c r="L28" s="161"/>
      <c r="M28" s="161"/>
    </row>
    <row r="29" spans="2:13" ht="15.75">
      <c r="B29" s="39"/>
      <c r="C29" s="312"/>
      <c r="D29" s="312"/>
      <c r="E29" s="159"/>
      <c r="F29" s="160"/>
      <c r="G29" s="161"/>
      <c r="H29" s="162"/>
      <c r="I29" s="162"/>
      <c r="J29" s="161"/>
      <c r="K29" s="161"/>
      <c r="L29" s="161"/>
      <c r="M29" s="161"/>
    </row>
    <row r="30" spans="2:13" ht="15.75">
      <c r="B30" s="39"/>
      <c r="C30" s="312"/>
      <c r="D30" s="312"/>
      <c r="E30" s="159"/>
      <c r="F30" s="160"/>
      <c r="G30" s="161"/>
      <c r="H30" s="162"/>
      <c r="I30" s="162"/>
      <c r="J30" s="161"/>
      <c r="K30" s="161"/>
      <c r="L30" s="161"/>
      <c r="M30" s="161"/>
    </row>
    <row r="31" spans="2:13" ht="15.75">
      <c r="B31" s="39"/>
      <c r="C31" s="312"/>
      <c r="D31" s="312"/>
      <c r="E31" s="159"/>
      <c r="F31" s="160"/>
      <c r="G31" s="161"/>
      <c r="H31" s="162"/>
      <c r="I31" s="162"/>
      <c r="J31" s="161"/>
      <c r="K31" s="161"/>
      <c r="L31" s="161"/>
      <c r="M31" s="161"/>
    </row>
    <row r="32" spans="2:13" ht="15.75">
      <c r="B32" s="163" t="s">
        <v>71</v>
      </c>
      <c r="C32" s="164"/>
      <c r="D32" s="164"/>
      <c r="E32" s="172"/>
      <c r="F32" s="166"/>
      <c r="G32" s="173">
        <f>SUM(G22:G31)</f>
        <v>0</v>
      </c>
      <c r="H32" s="168"/>
      <c r="I32" s="168"/>
      <c r="J32" s="173">
        <f>SUM(J22:J31)</f>
        <v>0</v>
      </c>
      <c r="K32" s="173">
        <f>SUM(K22:K31)</f>
        <v>0</v>
      </c>
      <c r="L32" s="167">
        <f>SUM(L22:L31)</f>
        <v>0</v>
      </c>
      <c r="M32" s="173">
        <f>SUM(M22:M31)</f>
        <v>0</v>
      </c>
    </row>
    <row r="33" spans="2:13" ht="15.75">
      <c r="B33" s="156" t="s">
        <v>72</v>
      </c>
      <c r="C33" s="169"/>
      <c r="D33" s="169"/>
      <c r="E33" s="170"/>
      <c r="F33" s="148"/>
      <c r="G33" s="174"/>
      <c r="H33" s="171"/>
      <c r="I33" s="171"/>
      <c r="J33" s="148"/>
      <c r="K33" s="148"/>
      <c r="L33" s="148"/>
      <c r="M33" s="148"/>
    </row>
    <row r="34" spans="2:13" ht="15.75">
      <c r="B34" s="39"/>
      <c r="C34" s="312"/>
      <c r="D34" s="312"/>
      <c r="E34" s="159"/>
      <c r="F34" s="160"/>
      <c r="G34" s="161"/>
      <c r="H34" s="162"/>
      <c r="I34" s="162"/>
      <c r="J34" s="161"/>
      <c r="K34" s="161"/>
      <c r="L34" s="161"/>
      <c r="M34" s="161"/>
    </row>
    <row r="35" spans="2:13" ht="15.75">
      <c r="B35" s="39"/>
      <c r="C35" s="312"/>
      <c r="D35" s="312"/>
      <c r="E35" s="159"/>
      <c r="F35" s="160"/>
      <c r="G35" s="161"/>
      <c r="H35" s="162"/>
      <c r="I35" s="162"/>
      <c r="J35" s="161"/>
      <c r="K35" s="161"/>
      <c r="L35" s="161"/>
      <c r="M35" s="161"/>
    </row>
    <row r="36" spans="2:13" ht="15.75">
      <c r="B36" s="39"/>
      <c r="C36" s="312"/>
      <c r="D36" s="312"/>
      <c r="E36" s="159"/>
      <c r="F36" s="160"/>
      <c r="G36" s="161"/>
      <c r="H36" s="162"/>
      <c r="I36" s="162"/>
      <c r="J36" s="161"/>
      <c r="K36" s="161"/>
      <c r="L36" s="161"/>
      <c r="M36" s="161"/>
    </row>
    <row r="37" spans="2:13" ht="15.75">
      <c r="B37" s="39"/>
      <c r="C37" s="312"/>
      <c r="D37" s="312"/>
      <c r="E37" s="159"/>
      <c r="F37" s="160"/>
      <c r="G37" s="161"/>
      <c r="H37" s="162"/>
      <c r="I37" s="162"/>
      <c r="J37" s="161"/>
      <c r="K37" s="161"/>
      <c r="L37" s="161"/>
      <c r="M37" s="161"/>
    </row>
    <row r="38" spans="2:13" ht="15.75">
      <c r="B38" s="39"/>
      <c r="C38" s="312"/>
      <c r="D38" s="312"/>
      <c r="E38" s="159"/>
      <c r="F38" s="160"/>
      <c r="G38" s="161"/>
      <c r="H38" s="162"/>
      <c r="I38" s="162"/>
      <c r="J38" s="161"/>
      <c r="K38" s="161"/>
      <c r="L38" s="161"/>
      <c r="M38" s="161"/>
    </row>
    <row r="39" spans="2:13" ht="15.75">
      <c r="B39" s="39"/>
      <c r="C39" s="312"/>
      <c r="D39" s="312"/>
      <c r="E39" s="159"/>
      <c r="F39" s="160"/>
      <c r="G39" s="161"/>
      <c r="H39" s="162"/>
      <c r="I39" s="162"/>
      <c r="J39" s="161"/>
      <c r="K39" s="161"/>
      <c r="L39" s="161"/>
      <c r="M39" s="161"/>
    </row>
    <row r="40" spans="2:13" ht="15.75">
      <c r="B40" s="39"/>
      <c r="C40" s="312"/>
      <c r="D40" s="312"/>
      <c r="E40" s="159"/>
      <c r="F40" s="160"/>
      <c r="G40" s="161"/>
      <c r="H40" s="162"/>
      <c r="I40" s="162"/>
      <c r="J40" s="161"/>
      <c r="K40" s="161"/>
      <c r="L40" s="161"/>
      <c r="M40" s="161"/>
    </row>
    <row r="41" spans="2:29" ht="15.75">
      <c r="B41" s="39"/>
      <c r="C41" s="312"/>
      <c r="D41" s="312"/>
      <c r="E41" s="159"/>
      <c r="F41" s="160"/>
      <c r="G41" s="161"/>
      <c r="H41" s="162"/>
      <c r="I41" s="162"/>
      <c r="J41" s="161"/>
      <c r="K41" s="161"/>
      <c r="L41" s="161"/>
      <c r="M41" s="161"/>
      <c r="N41" s="3"/>
      <c r="O41" s="3"/>
      <c r="P41" s="3"/>
      <c r="Q41" s="3"/>
      <c r="R41" s="3"/>
      <c r="S41" s="3"/>
      <c r="T41" s="3"/>
      <c r="U41" s="3"/>
      <c r="V41" s="3"/>
      <c r="W41" s="3"/>
      <c r="X41" s="3"/>
      <c r="Y41" s="3"/>
      <c r="Z41" s="3"/>
      <c r="AA41" s="3"/>
      <c r="AB41" s="3"/>
      <c r="AC41" s="3"/>
    </row>
    <row r="42" spans="2:13" ht="15.75">
      <c r="B42" s="163" t="s">
        <v>179</v>
      </c>
      <c r="C42" s="147"/>
      <c r="D42" s="147"/>
      <c r="E42" s="172"/>
      <c r="F42" s="166"/>
      <c r="G42" s="173">
        <f>SUM(G34:G41)</f>
        <v>0</v>
      </c>
      <c r="H42" s="166"/>
      <c r="I42" s="166"/>
      <c r="J42" s="173">
        <f>SUM(J34:J41)</f>
        <v>0</v>
      </c>
      <c r="K42" s="173">
        <f>SUM(K34:K41)</f>
        <v>0</v>
      </c>
      <c r="L42" s="173">
        <f>SUM(L34:L41)</f>
        <v>0</v>
      </c>
      <c r="M42" s="173">
        <f>SUM(M34:M41)</f>
        <v>0</v>
      </c>
    </row>
    <row r="43" spans="2:13" ht="15.75">
      <c r="B43" s="163" t="s">
        <v>73</v>
      </c>
      <c r="C43" s="147"/>
      <c r="D43" s="147"/>
      <c r="E43" s="147"/>
      <c r="F43" s="166"/>
      <c r="G43" s="173">
        <f>SUM(G20+G32+G42)</f>
        <v>0</v>
      </c>
      <c r="H43" s="166"/>
      <c r="I43" s="166"/>
      <c r="J43" s="173">
        <f>SUM(J20+J32+J42)</f>
        <v>0</v>
      </c>
      <c r="K43" s="173">
        <f>SUM(K20+K32+K42)</f>
        <v>0</v>
      </c>
      <c r="L43" s="173">
        <f>SUM(L20+L32+L42)</f>
        <v>0</v>
      </c>
      <c r="M43" s="173">
        <f>SUM(M20+M32+M42)</f>
        <v>0</v>
      </c>
    </row>
    <row r="44" spans="2:13" ht="15.75">
      <c r="B44" s="3"/>
      <c r="C44" s="3"/>
      <c r="D44" s="3"/>
      <c r="E44" s="3"/>
      <c r="F44" s="3"/>
      <c r="G44" s="3"/>
      <c r="H44" s="3"/>
      <c r="I44" s="3"/>
      <c r="J44" s="3"/>
      <c r="K44" s="3"/>
      <c r="L44" s="3"/>
      <c r="M44" s="3"/>
    </row>
    <row r="45" spans="6:13" ht="15.75">
      <c r="F45" s="175"/>
      <c r="G45" s="175"/>
      <c r="J45" s="175"/>
      <c r="K45" s="175"/>
      <c r="L45" s="175"/>
      <c r="M45" s="175"/>
    </row>
    <row r="46" spans="6:14" ht="15.75">
      <c r="F46" s="3"/>
      <c r="H46" s="176"/>
      <c r="N46" s="3"/>
    </row>
    <row r="47" spans="2:13" ht="15.75">
      <c r="B47" s="3"/>
      <c r="C47" s="3"/>
      <c r="D47" s="3"/>
      <c r="E47" s="3"/>
      <c r="F47" s="3"/>
      <c r="G47" s="3"/>
      <c r="H47" s="3"/>
      <c r="I47" s="3"/>
      <c r="J47" s="3"/>
      <c r="K47" s="3"/>
      <c r="L47" s="3"/>
      <c r="M47" s="3"/>
    </row>
    <row r="48" spans="2:13" ht="15.75">
      <c r="B48" s="3"/>
      <c r="C48" s="3"/>
      <c r="D48" s="3"/>
      <c r="E48" s="3"/>
      <c r="F48" s="3"/>
      <c r="G48" s="3"/>
      <c r="H48" s="3"/>
      <c r="I48" s="3"/>
      <c r="J48" s="3"/>
      <c r="K48" s="3"/>
      <c r="L48" s="3"/>
      <c r="M48" s="3"/>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1" r:id="rId1"/>
  <headerFooter alignWithMargins="0">
    <oddHeader>&amp;RState of Kansas
City
</oddHeader>
    <oddFooter>&amp;CPage No. 5</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V92" sqref="V92"/>
    </sheetView>
  </sheetViews>
  <sheetFormatPr defaultColWidth="8.796875" defaultRowHeight="15"/>
  <cols>
    <col min="1" max="1" width="10.796875" style="17" customWidth="1"/>
    <col min="2" max="2" width="23.59765625" style="17" customWidth="1"/>
    <col min="3" max="5" width="9.796875" style="17" customWidth="1"/>
    <col min="6" max="6" width="18.296875" style="17" customWidth="1"/>
    <col min="7" max="9" width="15.796875" style="17" customWidth="1"/>
    <col min="10" max="16384" width="8.8984375" style="17" customWidth="1"/>
  </cols>
  <sheetData>
    <row r="1" spans="2:9" ht="15.75">
      <c r="B1" s="124">
        <f>inputPrYr!$D$3</f>
        <v>0</v>
      </c>
      <c r="C1" s="16"/>
      <c r="D1" s="16"/>
      <c r="E1" s="16"/>
      <c r="F1" s="16"/>
      <c r="G1" s="16"/>
      <c r="H1" s="16"/>
      <c r="I1" s="177">
        <f>inputPrYr!$C$6</f>
        <v>0</v>
      </c>
    </row>
    <row r="2" spans="2:9" ht="15.75">
      <c r="B2" s="124"/>
      <c r="C2" s="16"/>
      <c r="D2" s="16"/>
      <c r="E2" s="16"/>
      <c r="F2" s="16"/>
      <c r="G2" s="16"/>
      <c r="H2" s="16"/>
      <c r="I2" s="120"/>
    </row>
    <row r="3" spans="2:9" ht="15.75">
      <c r="B3" s="16"/>
      <c r="C3" s="16"/>
      <c r="D3" s="16"/>
      <c r="E3" s="16"/>
      <c r="F3" s="16"/>
      <c r="G3" s="16"/>
      <c r="H3" s="16"/>
      <c r="I3" s="93"/>
    </row>
    <row r="4" spans="2:9" ht="15.75">
      <c r="B4" s="151" t="s">
        <v>87</v>
      </c>
      <c r="C4" s="23"/>
      <c r="D4" s="23"/>
      <c r="E4" s="23"/>
      <c r="F4" s="23"/>
      <c r="G4" s="23"/>
      <c r="H4" s="23"/>
      <c r="I4" s="23"/>
    </row>
    <row r="5" spans="2:9" ht="15.75">
      <c r="B5" s="41"/>
      <c r="C5" s="152"/>
      <c r="D5" s="152"/>
      <c r="E5" s="152"/>
      <c r="F5" s="152"/>
      <c r="G5" s="152"/>
      <c r="H5" s="152"/>
      <c r="I5" s="152"/>
    </row>
    <row r="6" spans="2:9" ht="15.75">
      <c r="B6" s="107"/>
      <c r="C6" s="107"/>
      <c r="D6" s="107"/>
      <c r="E6" s="107"/>
      <c r="F6" s="134" t="s">
        <v>301</v>
      </c>
      <c r="G6" s="107"/>
      <c r="H6" s="107"/>
      <c r="I6" s="107"/>
    </row>
    <row r="7" spans="2:9" ht="15.75">
      <c r="B7" s="108"/>
      <c r="C7" s="101"/>
      <c r="D7" s="101" t="s">
        <v>74</v>
      </c>
      <c r="E7" s="101" t="s">
        <v>75</v>
      </c>
      <c r="F7" s="101" t="s">
        <v>17</v>
      </c>
      <c r="G7" s="101" t="s">
        <v>77</v>
      </c>
      <c r="H7" s="101" t="s">
        <v>78</v>
      </c>
      <c r="I7" s="101" t="s">
        <v>78</v>
      </c>
    </row>
    <row r="8" spans="2:9" ht="15.75">
      <c r="B8" s="108"/>
      <c r="C8" s="101" t="s">
        <v>79</v>
      </c>
      <c r="D8" s="101" t="s">
        <v>80</v>
      </c>
      <c r="E8" s="101" t="s">
        <v>64</v>
      </c>
      <c r="F8" s="101" t="s">
        <v>81</v>
      </c>
      <c r="G8" s="101" t="s">
        <v>126</v>
      </c>
      <c r="H8" s="101" t="s">
        <v>82</v>
      </c>
      <c r="I8" s="101" t="s">
        <v>82</v>
      </c>
    </row>
    <row r="9" spans="2:9" ht="15.75">
      <c r="B9" s="104" t="s">
        <v>83</v>
      </c>
      <c r="C9" s="104" t="s">
        <v>61</v>
      </c>
      <c r="D9" s="178" t="s">
        <v>84</v>
      </c>
      <c r="E9" s="104" t="s">
        <v>41</v>
      </c>
      <c r="F9" s="178" t="s">
        <v>138</v>
      </c>
      <c r="G9" s="179" t="str">
        <f>CONCATENATE("Jan 1 ",I1-1,"")</f>
        <v>Jan 1 -1</v>
      </c>
      <c r="H9" s="104">
        <f>I1-1</f>
        <v>-1</v>
      </c>
      <c r="I9" s="104">
        <f>I1</f>
        <v>0</v>
      </c>
    </row>
    <row r="10" spans="2:9" ht="15.75">
      <c r="B10" s="39"/>
      <c r="C10" s="180"/>
      <c r="D10" s="181"/>
      <c r="E10" s="159"/>
      <c r="F10" s="160"/>
      <c r="G10" s="160"/>
      <c r="H10" s="160"/>
      <c r="I10" s="160"/>
    </row>
    <row r="11" spans="2:9" ht="15.75">
      <c r="B11" s="39"/>
      <c r="C11" s="180"/>
      <c r="D11" s="181"/>
      <c r="E11" s="159"/>
      <c r="F11" s="160"/>
      <c r="G11" s="160"/>
      <c r="H11" s="160"/>
      <c r="I11" s="160"/>
    </row>
    <row r="12" spans="2:9" ht="15.75">
      <c r="B12" s="39"/>
      <c r="C12" s="180"/>
      <c r="D12" s="181"/>
      <c r="E12" s="159"/>
      <c r="F12" s="160"/>
      <c r="G12" s="160"/>
      <c r="H12" s="160"/>
      <c r="I12" s="160"/>
    </row>
    <row r="13" spans="2:9" ht="15.75">
      <c r="B13" s="39"/>
      <c r="C13" s="180"/>
      <c r="D13" s="181"/>
      <c r="E13" s="159"/>
      <c r="F13" s="160"/>
      <c r="G13" s="160"/>
      <c r="H13" s="160"/>
      <c r="I13" s="160"/>
    </row>
    <row r="14" spans="2:9" ht="15.75">
      <c r="B14" s="39"/>
      <c r="C14" s="312"/>
      <c r="D14" s="181"/>
      <c r="E14" s="159"/>
      <c r="F14" s="160"/>
      <c r="G14" s="160"/>
      <c r="H14" s="160"/>
      <c r="I14" s="160"/>
    </row>
    <row r="15" spans="2:9" ht="15.75">
      <c r="B15" s="39"/>
      <c r="C15" s="180"/>
      <c r="D15" s="181"/>
      <c r="E15" s="159"/>
      <c r="F15" s="160"/>
      <c r="G15" s="160"/>
      <c r="H15" s="160"/>
      <c r="I15" s="160"/>
    </row>
    <row r="16" spans="2:9" ht="15.75">
      <c r="B16" s="39"/>
      <c r="C16" s="180"/>
      <c r="D16" s="181"/>
      <c r="E16" s="159"/>
      <c r="F16" s="160"/>
      <c r="G16" s="160"/>
      <c r="H16" s="160"/>
      <c r="I16" s="160"/>
    </row>
    <row r="17" spans="2:9" ht="15.75">
      <c r="B17" s="39"/>
      <c r="C17" s="180"/>
      <c r="D17" s="181"/>
      <c r="E17" s="159"/>
      <c r="F17" s="160"/>
      <c r="G17" s="160"/>
      <c r="H17" s="160"/>
      <c r="I17" s="160"/>
    </row>
    <row r="18" spans="2:9" ht="15.75">
      <c r="B18" s="39"/>
      <c r="C18" s="180"/>
      <c r="D18" s="181"/>
      <c r="E18" s="159"/>
      <c r="F18" s="160"/>
      <c r="G18" s="160"/>
      <c r="H18" s="160"/>
      <c r="I18" s="160"/>
    </row>
    <row r="19" spans="2:9" ht="15.75">
      <c r="B19" s="39"/>
      <c r="C19" s="180"/>
      <c r="D19" s="181"/>
      <c r="E19" s="159"/>
      <c r="F19" s="160"/>
      <c r="G19" s="160"/>
      <c r="H19" s="160"/>
      <c r="I19" s="160"/>
    </row>
    <row r="20" spans="2:9" ht="15.75">
      <c r="B20" s="39"/>
      <c r="C20" s="180"/>
      <c r="D20" s="181"/>
      <c r="E20" s="159"/>
      <c r="F20" s="160"/>
      <c r="G20" s="160"/>
      <c r="H20" s="160"/>
      <c r="I20" s="160"/>
    </row>
    <row r="21" spans="2:9" ht="15.75">
      <c r="B21" s="39"/>
      <c r="C21" s="180"/>
      <c r="D21" s="181"/>
      <c r="E21" s="159"/>
      <c r="F21" s="160"/>
      <c r="G21" s="160"/>
      <c r="H21" s="160"/>
      <c r="I21" s="160"/>
    </row>
    <row r="22" spans="2:9" ht="15.75">
      <c r="B22" s="39"/>
      <c r="C22" s="180"/>
      <c r="D22" s="181"/>
      <c r="E22" s="159"/>
      <c r="F22" s="160"/>
      <c r="G22" s="160"/>
      <c r="H22" s="160"/>
      <c r="I22" s="160"/>
    </row>
    <row r="23" spans="2:9" ht="15.75">
      <c r="B23" s="39"/>
      <c r="C23" s="180"/>
      <c r="D23" s="181"/>
      <c r="E23" s="159"/>
      <c r="F23" s="160"/>
      <c r="G23" s="160"/>
      <c r="H23" s="160"/>
      <c r="I23" s="160"/>
    </row>
    <row r="24" spans="2:9" ht="15.75">
      <c r="B24" s="39"/>
      <c r="C24" s="180"/>
      <c r="D24" s="181"/>
      <c r="E24" s="159"/>
      <c r="F24" s="160"/>
      <c r="G24" s="160"/>
      <c r="H24" s="160"/>
      <c r="I24" s="160"/>
    </row>
    <row r="25" spans="2:9" ht="15.75">
      <c r="B25" s="39"/>
      <c r="C25" s="180"/>
      <c r="D25" s="181"/>
      <c r="E25" s="159"/>
      <c r="F25" s="160"/>
      <c r="G25" s="160"/>
      <c r="H25" s="160"/>
      <c r="I25" s="160"/>
    </row>
    <row r="26" spans="2:9" ht="15.75">
      <c r="B26" s="39"/>
      <c r="C26" s="180"/>
      <c r="D26" s="181"/>
      <c r="E26" s="159"/>
      <c r="F26" s="160"/>
      <c r="G26" s="160"/>
      <c r="H26" s="160"/>
      <c r="I26" s="160"/>
    </row>
    <row r="27" spans="2:9" ht="15.75">
      <c r="B27" s="39"/>
      <c r="C27" s="180"/>
      <c r="D27" s="181"/>
      <c r="E27" s="159"/>
      <c r="F27" s="160"/>
      <c r="G27" s="160"/>
      <c r="H27" s="160"/>
      <c r="I27" s="160"/>
    </row>
    <row r="28" spans="2:9" ht="16.5" thickBot="1">
      <c r="B28" s="182" t="s">
        <v>12</v>
      </c>
      <c r="C28" s="123"/>
      <c r="D28" s="123"/>
      <c r="E28" s="123"/>
      <c r="F28" s="123"/>
      <c r="G28" s="183">
        <f>SUM(G10:G27)</f>
        <v>0</v>
      </c>
      <c r="H28" s="183">
        <f>SUM(H10:H27)</f>
        <v>0</v>
      </c>
      <c r="I28" s="183">
        <f>SUM(I10:I27)</f>
        <v>0</v>
      </c>
    </row>
    <row r="29" spans="2:9" ht="16.5" thickTop="1">
      <c r="B29" s="16"/>
      <c r="C29" s="16"/>
      <c r="D29" s="16"/>
      <c r="E29" s="16"/>
      <c r="F29" s="16"/>
      <c r="G29" s="16"/>
      <c r="H29" s="124"/>
      <c r="I29" s="124"/>
    </row>
    <row r="30" spans="2:9" ht="15.75">
      <c r="B30" s="184" t="s">
        <v>245</v>
      </c>
      <c r="C30" s="185"/>
      <c r="D30" s="185"/>
      <c r="E30" s="185"/>
      <c r="F30" s="185"/>
      <c r="G30" s="185"/>
      <c r="H30" s="124"/>
      <c r="I30" s="124"/>
    </row>
  </sheetData>
  <sheetProtection sheet="1"/>
  <printOptions/>
  <pageMargins left="0.25" right="0.25" top="1" bottom="0.5" header="0.5" footer="0.5"/>
  <pageSetup blackAndWhite="1" fitToHeight="1" fitToWidth="1" horizontalDpi="120" verticalDpi="120" orientation="landscape" scale="80" r:id="rId1"/>
  <headerFooter alignWithMargins="0">
    <oddHeader>&amp;RState of Kansas
City
</oddHeader>
    <oddFooter>&amp;CPage No. 6</oddFooter>
  </headerFooter>
</worksheet>
</file>

<file path=xl/worksheets/sheet1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111" sqref="D111"/>
    </sheetView>
  </sheetViews>
  <sheetFormatPr defaultColWidth="8.796875" defaultRowHeight="15"/>
  <cols>
    <col min="1" max="1" width="2.59765625" style="560" customWidth="1"/>
    <col min="2" max="4" width="8.8984375" style="560" customWidth="1"/>
    <col min="5" max="5" width="9.69921875" style="560" customWidth="1"/>
    <col min="6" max="6" width="8.8984375" style="560" customWidth="1"/>
    <col min="7" max="7" width="9.69921875" style="560" customWidth="1"/>
    <col min="8" max="16384" width="8.8984375" style="560" customWidth="1"/>
  </cols>
  <sheetData>
    <row r="1" spans="2:9" ht="15.75">
      <c r="B1" s="559"/>
      <c r="C1" s="559"/>
      <c r="D1" s="559"/>
      <c r="E1" s="559"/>
      <c r="F1" s="559"/>
      <c r="G1" s="559"/>
      <c r="H1" s="559"/>
      <c r="I1" s="559"/>
    </row>
    <row r="2" spans="2:9" ht="15.75">
      <c r="B2" s="1011" t="s">
        <v>765</v>
      </c>
      <c r="C2" s="1011"/>
      <c r="D2" s="1011"/>
      <c r="E2" s="1011"/>
      <c r="F2" s="1011"/>
      <c r="G2" s="1011"/>
      <c r="H2" s="1011"/>
      <c r="I2" s="1011"/>
    </row>
    <row r="3" spans="2:9" ht="15.75">
      <c r="B3" s="1011" t="s">
        <v>766</v>
      </c>
      <c r="C3" s="1011"/>
      <c r="D3" s="1011"/>
      <c r="E3" s="1011"/>
      <c r="F3" s="1011"/>
      <c r="G3" s="1011"/>
      <c r="H3" s="1011"/>
      <c r="I3" s="1011"/>
    </row>
    <row r="4" spans="2:9" ht="15.75">
      <c r="B4" s="561"/>
      <c r="C4" s="561"/>
      <c r="D4" s="561"/>
      <c r="E4" s="561"/>
      <c r="F4" s="561"/>
      <c r="G4" s="561"/>
      <c r="H4" s="561"/>
      <c r="I4" s="561"/>
    </row>
    <row r="5" spans="2:9" ht="15.75">
      <c r="B5" s="1012" t="str">
        <f>CONCATENATE("Budgeted Year: ",inputPrYr!C6,"")</f>
        <v>Budgeted Year: </v>
      </c>
      <c r="C5" s="1012"/>
      <c r="D5" s="1012"/>
      <c r="E5" s="1012"/>
      <c r="F5" s="1012"/>
      <c r="G5" s="1012"/>
      <c r="H5" s="1012"/>
      <c r="I5" s="1012"/>
    </row>
    <row r="6" spans="2:9" ht="15.75">
      <c r="B6" s="562"/>
      <c r="C6" s="561"/>
      <c r="D6" s="561"/>
      <c r="E6" s="561"/>
      <c r="F6" s="561"/>
      <c r="G6" s="561"/>
      <c r="H6" s="561"/>
      <c r="I6" s="561"/>
    </row>
    <row r="7" spans="2:9" ht="15.75">
      <c r="B7" s="562" t="str">
        <f>CONCATENATE("Library found in: ",inputPrYr!D3,"")</f>
        <v>Library found in: </v>
      </c>
      <c r="C7" s="561"/>
      <c r="D7" s="561"/>
      <c r="E7" s="561"/>
      <c r="F7" s="561"/>
      <c r="G7" s="561"/>
      <c r="H7" s="561"/>
      <c r="I7" s="561"/>
    </row>
    <row r="8" spans="2:9" ht="15.75">
      <c r="B8" s="562">
        <f>inputPrYr!D4</f>
        <v>0</v>
      </c>
      <c r="C8" s="561"/>
      <c r="D8" s="561"/>
      <c r="E8" s="561"/>
      <c r="F8" s="561"/>
      <c r="G8" s="561"/>
      <c r="H8" s="561"/>
      <c r="I8" s="561"/>
    </row>
    <row r="9" spans="2:9" ht="15.75">
      <c r="B9" s="561"/>
      <c r="C9" s="561"/>
      <c r="D9" s="561"/>
      <c r="E9" s="561"/>
      <c r="F9" s="561"/>
      <c r="G9" s="561"/>
      <c r="H9" s="561"/>
      <c r="I9" s="561"/>
    </row>
    <row r="10" spans="2:9" ht="39" customHeight="1">
      <c r="B10" s="1013" t="s">
        <v>767</v>
      </c>
      <c r="C10" s="1013"/>
      <c r="D10" s="1013"/>
      <c r="E10" s="1013"/>
      <c r="F10" s="1013"/>
      <c r="G10" s="1013"/>
      <c r="H10" s="1013"/>
      <c r="I10" s="1013"/>
    </row>
    <row r="11" spans="2:9" ht="15.75">
      <c r="B11" s="561"/>
      <c r="C11" s="561"/>
      <c r="D11" s="561"/>
      <c r="E11" s="561"/>
      <c r="F11" s="561"/>
      <c r="G11" s="561"/>
      <c r="H11" s="561"/>
      <c r="I11" s="561"/>
    </row>
    <row r="12" spans="2:9" ht="15.75">
      <c r="B12" s="563" t="s">
        <v>768</v>
      </c>
      <c r="C12" s="561"/>
      <c r="D12" s="561"/>
      <c r="E12" s="561"/>
      <c r="F12" s="561"/>
      <c r="G12" s="561"/>
      <c r="H12" s="561"/>
      <c r="I12" s="561"/>
    </row>
    <row r="13" spans="2:9" ht="15.75">
      <c r="B13" s="561"/>
      <c r="C13" s="561"/>
      <c r="D13" s="561"/>
      <c r="E13" s="564" t="s">
        <v>759</v>
      </c>
      <c r="F13" s="561"/>
      <c r="G13" s="564" t="s">
        <v>769</v>
      </c>
      <c r="H13" s="561"/>
      <c r="I13" s="561"/>
    </row>
    <row r="14" spans="2:9" ht="15.75">
      <c r="B14" s="561"/>
      <c r="C14" s="561"/>
      <c r="D14" s="561"/>
      <c r="E14" s="565">
        <f>inputPrYr!C6-1</f>
        <v>-1</v>
      </c>
      <c r="F14" s="561"/>
      <c r="G14" s="565">
        <f>inputPrYr!C6</f>
        <v>0</v>
      </c>
      <c r="H14" s="561"/>
      <c r="I14" s="561"/>
    </row>
    <row r="15" spans="2:9" ht="15.75">
      <c r="B15" s="562" t="str">
        <f>'DebtSvs-Library'!B50</f>
        <v>Ad Valorem Tax</v>
      </c>
      <c r="C15" s="561"/>
      <c r="D15" s="561"/>
      <c r="E15" s="566">
        <f>'DebtSvs-Library'!D50</f>
        <v>0</v>
      </c>
      <c r="F15" s="561"/>
      <c r="G15" s="566">
        <f>'DebtSvs-Library'!E81</f>
        <v>0</v>
      </c>
      <c r="H15" s="561"/>
      <c r="I15" s="561"/>
    </row>
    <row r="16" spans="2:9" ht="15.75">
      <c r="B16" s="562" t="str">
        <f>'DebtSvs-Library'!B51</f>
        <v>Delinquent Tax</v>
      </c>
      <c r="C16" s="561"/>
      <c r="D16" s="561"/>
      <c r="E16" s="566">
        <f>'DebtSvs-Library'!D51</f>
        <v>0</v>
      </c>
      <c r="F16" s="561"/>
      <c r="G16" s="566">
        <f>'DebtSvs-Library'!E51</f>
        <v>0</v>
      </c>
      <c r="H16" s="561"/>
      <c r="I16" s="561"/>
    </row>
    <row r="17" spans="2:9" ht="15.75">
      <c r="B17" s="562" t="str">
        <f>'DebtSvs-Library'!B52</f>
        <v>Motor Vehicle Tax</v>
      </c>
      <c r="C17" s="561"/>
      <c r="D17" s="561"/>
      <c r="E17" s="566">
        <f>'DebtSvs-Library'!D52</f>
        <v>0</v>
      </c>
      <c r="F17" s="561"/>
      <c r="G17" s="566" t="str">
        <f>'DebtSvs-Library'!E52</f>
        <v>  </v>
      </c>
      <c r="H17" s="561"/>
      <c r="I17" s="561"/>
    </row>
    <row r="18" spans="2:9" ht="15.75">
      <c r="B18" s="562" t="str">
        <f>'DebtSvs-Library'!B53</f>
        <v>Recreational Vehicle Tax</v>
      </c>
      <c r="C18" s="561"/>
      <c r="D18" s="561"/>
      <c r="E18" s="566">
        <f>'DebtSvs-Library'!D53</f>
        <v>0</v>
      </c>
      <c r="F18" s="561"/>
      <c r="G18" s="566" t="str">
        <f>'DebtSvs-Library'!E53</f>
        <v> </v>
      </c>
      <c r="H18" s="561"/>
      <c r="I18" s="561"/>
    </row>
    <row r="19" spans="2:9" ht="15.75">
      <c r="B19" s="562" t="str">
        <f>'DebtSvs-Library'!B54</f>
        <v>16/20M Vehicle Tax</v>
      </c>
      <c r="C19" s="561"/>
      <c r="D19" s="561"/>
      <c r="E19" s="566">
        <f>'DebtSvs-Library'!D54</f>
        <v>0</v>
      </c>
      <c r="F19" s="561"/>
      <c r="G19" s="566" t="str">
        <f>'DebtSvs-Library'!E54</f>
        <v> </v>
      </c>
      <c r="H19" s="561"/>
      <c r="I19" s="561"/>
    </row>
    <row r="20" spans="2:9" ht="15.75">
      <c r="B20" s="561" t="s">
        <v>148</v>
      </c>
      <c r="C20" s="561"/>
      <c r="D20" s="561"/>
      <c r="E20" s="566">
        <v>0</v>
      </c>
      <c r="F20" s="561"/>
      <c r="G20" s="566">
        <v>0</v>
      </c>
      <c r="H20" s="561"/>
      <c r="I20" s="561"/>
    </row>
    <row r="21" spans="2:9" ht="15.75">
      <c r="B21" s="561"/>
      <c r="C21" s="561"/>
      <c r="D21" s="561"/>
      <c r="E21" s="566">
        <v>0</v>
      </c>
      <c r="F21" s="561"/>
      <c r="G21" s="566">
        <v>0</v>
      </c>
      <c r="H21" s="561"/>
      <c r="I21" s="561"/>
    </row>
    <row r="22" spans="2:9" ht="15.75">
      <c r="B22" s="561" t="s">
        <v>770</v>
      </c>
      <c r="C22" s="561"/>
      <c r="D22" s="561"/>
      <c r="E22" s="567">
        <f>SUM(E15:E21)</f>
        <v>0</v>
      </c>
      <c r="F22" s="561"/>
      <c r="G22" s="567">
        <f>SUM(G15:G21)</f>
        <v>0</v>
      </c>
      <c r="H22" s="561"/>
      <c r="I22" s="561"/>
    </row>
    <row r="23" spans="2:9" ht="15.75">
      <c r="B23" s="561" t="s">
        <v>771</v>
      </c>
      <c r="C23" s="561"/>
      <c r="D23" s="561"/>
      <c r="E23" s="568">
        <f>G22-E22</f>
        <v>0</v>
      </c>
      <c r="F23" s="561"/>
      <c r="G23" s="569"/>
      <c r="H23" s="561"/>
      <c r="I23" s="561"/>
    </row>
    <row r="24" spans="2:9" ht="15.75">
      <c r="B24" s="561" t="s">
        <v>772</v>
      </c>
      <c r="C24" s="561"/>
      <c r="D24" s="570" t="str">
        <f>IF((G22-E22)&gt;=0,"Qualify","Not Qualify")</f>
        <v>Qualify</v>
      </c>
      <c r="E24" s="561"/>
      <c r="F24" s="561"/>
      <c r="G24" s="561"/>
      <c r="H24" s="561"/>
      <c r="I24" s="561"/>
    </row>
    <row r="25" spans="2:9" ht="15.75">
      <c r="B25" s="561"/>
      <c r="C25" s="561"/>
      <c r="D25" s="561"/>
      <c r="E25" s="561"/>
      <c r="F25" s="561"/>
      <c r="G25" s="561"/>
      <c r="H25" s="561"/>
      <c r="I25" s="561"/>
    </row>
    <row r="26" spans="2:9" ht="15.75">
      <c r="B26" s="563" t="s">
        <v>773</v>
      </c>
      <c r="C26" s="561"/>
      <c r="D26" s="561"/>
      <c r="E26" s="561"/>
      <c r="F26" s="561"/>
      <c r="G26" s="561"/>
      <c r="H26" s="561"/>
      <c r="I26" s="561"/>
    </row>
    <row r="27" spans="2:9" ht="15.75">
      <c r="B27" s="561" t="s">
        <v>774</v>
      </c>
      <c r="C27" s="561"/>
      <c r="D27" s="561"/>
      <c r="E27" s="566">
        <f>summ!D48</f>
        <v>0</v>
      </c>
      <c r="F27" s="561"/>
      <c r="G27" s="566">
        <f>summ!F48</f>
        <v>0</v>
      </c>
      <c r="H27" s="561"/>
      <c r="I27" s="561"/>
    </row>
    <row r="28" spans="2:9" ht="15.75">
      <c r="B28" s="561" t="s">
        <v>775</v>
      </c>
      <c r="C28" s="561"/>
      <c r="D28" s="561"/>
      <c r="E28" s="571" t="str">
        <f>IF(G27-E27&gt;=0,"No","Yes")</f>
        <v>No</v>
      </c>
      <c r="F28" s="561"/>
      <c r="G28" s="561"/>
      <c r="H28" s="561"/>
      <c r="I28" s="561"/>
    </row>
    <row r="29" spans="2:9" ht="15.75">
      <c r="B29" s="561" t="s">
        <v>776</v>
      </c>
      <c r="C29" s="561"/>
      <c r="D29" s="561"/>
      <c r="E29" s="564" t="str">
        <f>summ!E18</f>
        <v>  </v>
      </c>
      <c r="F29" s="561"/>
      <c r="G29" s="579" t="str">
        <f>summ!H18</f>
        <v> </v>
      </c>
      <c r="H29" s="561"/>
      <c r="I29" s="561"/>
    </row>
    <row r="30" spans="2:9" ht="15.75">
      <c r="B30" s="561" t="s">
        <v>777</v>
      </c>
      <c r="C30" s="561"/>
      <c r="D30" s="561"/>
      <c r="E30" s="580" t="e">
        <f>G29-E29</f>
        <v>#VALUE!</v>
      </c>
      <c r="F30" s="561"/>
      <c r="G30" s="561"/>
      <c r="H30" s="561"/>
      <c r="I30" s="561"/>
    </row>
    <row r="31" spans="2:9" ht="15.75">
      <c r="B31" s="561" t="s">
        <v>772</v>
      </c>
      <c r="C31" s="561"/>
      <c r="D31" s="572" t="e">
        <f>IF(E30&gt;=0,"Qualify","Not Qualify")</f>
        <v>#VALUE!</v>
      </c>
      <c r="E31" s="561"/>
      <c r="F31" s="561"/>
      <c r="G31" s="561"/>
      <c r="H31" s="561"/>
      <c r="I31" s="561"/>
    </row>
    <row r="32" spans="2:9" ht="15.75">
      <c r="B32" s="561"/>
      <c r="C32" s="561"/>
      <c r="D32" s="561"/>
      <c r="E32" s="561"/>
      <c r="F32" s="561"/>
      <c r="G32" s="561"/>
      <c r="H32" s="561"/>
      <c r="I32" s="561"/>
    </row>
    <row r="33" spans="2:9" ht="15.75">
      <c r="B33" s="561" t="s">
        <v>778</v>
      </c>
      <c r="C33" s="561"/>
      <c r="D33" s="561"/>
      <c r="E33" s="561"/>
      <c r="F33" s="581" t="str">
        <f>IF(D24="Not Qualify",IF(D31="Not Qualify",IF(D31="Not Qualify","Not Qualify","Qualify"),"Qualify"),"Qualify")</f>
        <v>Qualify</v>
      </c>
      <c r="G33" s="561"/>
      <c r="H33" s="561"/>
      <c r="I33" s="561"/>
    </row>
    <row r="34" spans="2:9" ht="15.75">
      <c r="B34" s="561"/>
      <c r="C34" s="561"/>
      <c r="D34" s="561"/>
      <c r="E34" s="561"/>
      <c r="F34" s="561"/>
      <c r="G34" s="561"/>
      <c r="H34" s="561"/>
      <c r="I34" s="561"/>
    </row>
    <row r="35" spans="2:9" ht="15.75">
      <c r="B35" s="561"/>
      <c r="C35" s="561"/>
      <c r="D35" s="561"/>
      <c r="E35" s="561"/>
      <c r="F35" s="561"/>
      <c r="G35" s="561"/>
      <c r="H35" s="561"/>
      <c r="I35" s="561"/>
    </row>
    <row r="36" spans="2:9" ht="37.5" customHeight="1">
      <c r="B36" s="1013" t="s">
        <v>779</v>
      </c>
      <c r="C36" s="1013"/>
      <c r="D36" s="1013"/>
      <c r="E36" s="1013"/>
      <c r="F36" s="1013"/>
      <c r="G36" s="1013"/>
      <c r="H36" s="1013"/>
      <c r="I36" s="1013"/>
    </row>
    <row r="37" spans="2:9" ht="15.75">
      <c r="B37" s="561"/>
      <c r="C37" s="561"/>
      <c r="D37" s="561"/>
      <c r="E37" s="561"/>
      <c r="F37" s="561"/>
      <c r="G37" s="561"/>
      <c r="H37" s="561"/>
      <c r="I37" s="561"/>
    </row>
    <row r="38" spans="2:9" ht="15.75">
      <c r="B38" s="561"/>
      <c r="C38" s="561"/>
      <c r="D38" s="561"/>
      <c r="E38" s="561"/>
      <c r="F38" s="561"/>
      <c r="G38" s="561"/>
      <c r="H38" s="561"/>
      <c r="I38" s="561"/>
    </row>
    <row r="39" spans="2:9" ht="15.75">
      <c r="B39" s="561"/>
      <c r="C39" s="561"/>
      <c r="D39" s="561"/>
      <c r="E39" s="561"/>
      <c r="F39" s="561"/>
      <c r="G39" s="561"/>
      <c r="H39" s="561"/>
      <c r="I39" s="561"/>
    </row>
    <row r="40" spans="2:9" ht="15.75">
      <c r="B40" s="561"/>
      <c r="C40" s="561"/>
      <c r="D40" s="561"/>
      <c r="E40" s="578" t="s">
        <v>34</v>
      </c>
      <c r="F40" s="577">
        <v>7</v>
      </c>
      <c r="G40" s="561"/>
      <c r="H40" s="561"/>
      <c r="I40" s="561"/>
    </row>
    <row r="41" spans="2:9" ht="15.75">
      <c r="B41" s="561"/>
      <c r="C41" s="561"/>
      <c r="D41" s="561"/>
      <c r="E41" s="561"/>
      <c r="F41" s="561"/>
      <c r="G41" s="561"/>
      <c r="H41" s="561"/>
      <c r="I41" s="561"/>
    </row>
    <row r="42" spans="2:9" ht="15.75">
      <c r="B42" s="561"/>
      <c r="C42" s="561"/>
      <c r="D42" s="561"/>
      <c r="E42" s="561"/>
      <c r="F42" s="561"/>
      <c r="G42" s="561"/>
      <c r="H42" s="561"/>
      <c r="I42" s="561"/>
    </row>
    <row r="43" spans="2:9" ht="15.75">
      <c r="B43" s="1014" t="s">
        <v>780</v>
      </c>
      <c r="C43" s="1015"/>
      <c r="D43" s="1015"/>
      <c r="E43" s="1015"/>
      <c r="F43" s="1015"/>
      <c r="G43" s="1015"/>
      <c r="H43" s="1015"/>
      <c r="I43" s="1015"/>
    </row>
    <row r="44" spans="2:9" ht="15.75">
      <c r="B44" s="561"/>
      <c r="C44" s="561"/>
      <c r="D44" s="561"/>
      <c r="E44" s="561"/>
      <c r="F44" s="561"/>
      <c r="G44" s="561"/>
      <c r="H44" s="561"/>
      <c r="I44" s="561"/>
    </row>
    <row r="45" spans="2:9" ht="15.75">
      <c r="B45" s="573" t="s">
        <v>781</v>
      </c>
      <c r="C45" s="561"/>
      <c r="D45" s="561"/>
      <c r="E45" s="561"/>
      <c r="F45" s="561"/>
      <c r="G45" s="561"/>
      <c r="H45" s="561"/>
      <c r="I45" s="561"/>
    </row>
    <row r="46" spans="2:9" ht="15.75">
      <c r="B46" s="573" t="str">
        <f>CONCATENATE("sources in your ",G14," library fund is not equal to or greater than the amount from the same")</f>
        <v>sources in your 0 library fund is not equal to or greater than the amount from the same</v>
      </c>
      <c r="C46" s="561"/>
      <c r="D46" s="561"/>
      <c r="E46" s="561"/>
      <c r="F46" s="561"/>
      <c r="G46" s="561"/>
      <c r="H46" s="561"/>
      <c r="I46" s="561"/>
    </row>
    <row r="47" spans="2:9" ht="15.75">
      <c r="B47" s="573" t="str">
        <f>CONCATENATE("sources in ",E14,".")</f>
        <v>sources in -1.</v>
      </c>
      <c r="C47" s="559"/>
      <c r="D47" s="559"/>
      <c r="E47" s="559"/>
      <c r="F47" s="559"/>
      <c r="G47" s="559"/>
      <c r="H47" s="559"/>
      <c r="I47" s="559"/>
    </row>
    <row r="48" spans="2:9" ht="15.75">
      <c r="B48" s="559"/>
      <c r="C48" s="559"/>
      <c r="D48" s="559"/>
      <c r="E48" s="559"/>
      <c r="F48" s="559"/>
      <c r="G48" s="559"/>
      <c r="H48" s="559"/>
      <c r="I48" s="559"/>
    </row>
    <row r="49" spans="2:9" ht="15.75">
      <c r="B49" s="573" t="s">
        <v>782</v>
      </c>
      <c r="C49" s="573"/>
      <c r="D49" s="574"/>
      <c r="E49" s="574"/>
      <c r="F49" s="574"/>
      <c r="G49" s="574"/>
      <c r="H49" s="574"/>
      <c r="I49" s="574"/>
    </row>
    <row r="50" spans="2:9" ht="15.75">
      <c r="B50" s="573" t="s">
        <v>783</v>
      </c>
      <c r="C50" s="573"/>
      <c r="D50" s="574"/>
      <c r="E50" s="574"/>
      <c r="F50" s="574"/>
      <c r="G50" s="574"/>
      <c r="H50" s="574"/>
      <c r="I50" s="574"/>
    </row>
    <row r="51" spans="2:9" ht="15.75">
      <c r="B51" s="573" t="s">
        <v>784</v>
      </c>
      <c r="C51" s="573"/>
      <c r="D51" s="574"/>
      <c r="E51" s="574"/>
      <c r="F51" s="574"/>
      <c r="G51" s="574"/>
      <c r="H51" s="574"/>
      <c r="I51" s="574"/>
    </row>
    <row r="52" spans="2:9" ht="15">
      <c r="B52" s="574"/>
      <c r="C52" s="574"/>
      <c r="D52" s="574"/>
      <c r="E52" s="574"/>
      <c r="F52" s="574"/>
      <c r="G52" s="574"/>
      <c r="H52" s="574"/>
      <c r="I52" s="574"/>
    </row>
    <row r="53" spans="2:9" ht="15.75">
      <c r="B53" s="575" t="s">
        <v>785</v>
      </c>
      <c r="C53" s="574"/>
      <c r="D53" s="574"/>
      <c r="E53" s="574"/>
      <c r="F53" s="574"/>
      <c r="G53" s="574"/>
      <c r="H53" s="574"/>
      <c r="I53" s="574"/>
    </row>
    <row r="54" spans="2:9" ht="15">
      <c r="B54" s="574"/>
      <c r="C54" s="574"/>
      <c r="D54" s="574"/>
      <c r="E54" s="574"/>
      <c r="F54" s="574"/>
      <c r="G54" s="574"/>
      <c r="H54" s="574"/>
      <c r="I54" s="574"/>
    </row>
    <row r="55" spans="2:9" ht="15.75">
      <c r="B55" s="573" t="s">
        <v>786</v>
      </c>
      <c r="C55" s="574"/>
      <c r="D55" s="574"/>
      <c r="E55" s="574"/>
      <c r="F55" s="574"/>
      <c r="G55" s="574"/>
      <c r="H55" s="574"/>
      <c r="I55" s="574"/>
    </row>
    <row r="56" spans="2:9" ht="15.75">
      <c r="B56" s="573" t="s">
        <v>787</v>
      </c>
      <c r="C56" s="574"/>
      <c r="D56" s="574"/>
      <c r="E56" s="574"/>
      <c r="F56" s="574"/>
      <c r="G56" s="574"/>
      <c r="H56" s="574"/>
      <c r="I56" s="574"/>
    </row>
    <row r="57" spans="2:9" ht="15">
      <c r="B57" s="574"/>
      <c r="C57" s="574"/>
      <c r="D57" s="574"/>
      <c r="E57" s="574"/>
      <c r="F57" s="574"/>
      <c r="G57" s="574"/>
      <c r="H57" s="574"/>
      <c r="I57" s="574"/>
    </row>
    <row r="58" spans="2:9" ht="15.75">
      <c r="B58" s="575" t="s">
        <v>788</v>
      </c>
      <c r="C58" s="573"/>
      <c r="D58" s="573"/>
      <c r="E58" s="573"/>
      <c r="F58" s="573"/>
      <c r="G58" s="574"/>
      <c r="H58" s="574"/>
      <c r="I58" s="574"/>
    </row>
    <row r="59" spans="2:9" ht="15.75">
      <c r="B59" s="573"/>
      <c r="C59" s="573"/>
      <c r="D59" s="573"/>
      <c r="E59" s="573"/>
      <c r="F59" s="573"/>
      <c r="G59" s="574"/>
      <c r="H59" s="574"/>
      <c r="I59" s="574"/>
    </row>
    <row r="60" spans="2:9" ht="15.75">
      <c r="B60" s="573" t="s">
        <v>789</v>
      </c>
      <c r="C60" s="573"/>
      <c r="D60" s="573"/>
      <c r="E60" s="573"/>
      <c r="F60" s="573"/>
      <c r="G60" s="574"/>
      <c r="H60" s="574"/>
      <c r="I60" s="574"/>
    </row>
    <row r="61" spans="2:9" ht="15.75">
      <c r="B61" s="573" t="s">
        <v>790</v>
      </c>
      <c r="C61" s="573"/>
      <c r="D61" s="573"/>
      <c r="E61" s="573"/>
      <c r="F61" s="573"/>
      <c r="G61" s="574"/>
      <c r="H61" s="574"/>
      <c r="I61" s="574"/>
    </row>
    <row r="62" spans="2:9" ht="15.75">
      <c r="B62" s="573" t="s">
        <v>791</v>
      </c>
      <c r="C62" s="573"/>
      <c r="D62" s="573"/>
      <c r="E62" s="573"/>
      <c r="F62" s="573"/>
      <c r="G62" s="574"/>
      <c r="H62" s="574"/>
      <c r="I62" s="574"/>
    </row>
    <row r="63" spans="2:9" ht="15.75">
      <c r="B63" s="573" t="s">
        <v>792</v>
      </c>
      <c r="C63" s="573"/>
      <c r="D63" s="573"/>
      <c r="E63" s="573"/>
      <c r="F63" s="573"/>
      <c r="G63" s="574"/>
      <c r="H63" s="574"/>
      <c r="I63" s="574"/>
    </row>
    <row r="64" spans="2:9" ht="15">
      <c r="B64" s="576"/>
      <c r="C64" s="576"/>
      <c r="D64" s="576"/>
      <c r="E64" s="576"/>
      <c r="F64" s="576"/>
      <c r="G64" s="574"/>
      <c r="H64" s="574"/>
      <c r="I64" s="574"/>
    </row>
    <row r="65" spans="2:9" ht="15.75">
      <c r="B65" s="573" t="s">
        <v>793</v>
      </c>
      <c r="C65" s="576"/>
      <c r="D65" s="576"/>
      <c r="E65" s="576"/>
      <c r="F65" s="576"/>
      <c r="G65" s="574"/>
      <c r="H65" s="574"/>
      <c r="I65" s="574"/>
    </row>
    <row r="66" spans="2:9" ht="15.75">
      <c r="B66" s="573" t="s">
        <v>794</v>
      </c>
      <c r="C66" s="576"/>
      <c r="D66" s="576"/>
      <c r="E66" s="576"/>
      <c r="F66" s="576"/>
      <c r="G66" s="574"/>
      <c r="H66" s="574"/>
      <c r="I66" s="574"/>
    </row>
    <row r="67" spans="2:9" ht="15">
      <c r="B67" s="576"/>
      <c r="C67" s="576"/>
      <c r="D67" s="576"/>
      <c r="E67" s="576"/>
      <c r="F67" s="576"/>
      <c r="G67" s="574"/>
      <c r="H67" s="574"/>
      <c r="I67" s="574"/>
    </row>
    <row r="68" spans="2:9" ht="15.75">
      <c r="B68" s="573" t="s">
        <v>795</v>
      </c>
      <c r="C68" s="576"/>
      <c r="D68" s="576"/>
      <c r="E68" s="576"/>
      <c r="F68" s="576"/>
      <c r="G68" s="574"/>
      <c r="H68" s="574"/>
      <c r="I68" s="574"/>
    </row>
    <row r="69" spans="2:9" ht="15.75">
      <c r="B69" s="573" t="s">
        <v>796</v>
      </c>
      <c r="C69" s="576"/>
      <c r="D69" s="576"/>
      <c r="E69" s="576"/>
      <c r="F69" s="576"/>
      <c r="G69" s="574"/>
      <c r="H69" s="574"/>
      <c r="I69" s="574"/>
    </row>
    <row r="70" spans="2:9" ht="15">
      <c r="B70" s="576"/>
      <c r="C70" s="576"/>
      <c r="D70" s="576"/>
      <c r="E70" s="576"/>
      <c r="F70" s="576"/>
      <c r="G70" s="574"/>
      <c r="H70" s="574"/>
      <c r="I70" s="574"/>
    </row>
    <row r="71" spans="2:9" ht="15.75">
      <c r="B71" s="575" t="s">
        <v>797</v>
      </c>
      <c r="C71" s="576"/>
      <c r="D71" s="576"/>
      <c r="E71" s="576"/>
      <c r="F71" s="576"/>
      <c r="G71" s="574"/>
      <c r="H71" s="574"/>
      <c r="I71" s="574"/>
    </row>
    <row r="72" spans="2:9" ht="15">
      <c r="B72" s="576"/>
      <c r="C72" s="576"/>
      <c r="D72" s="576"/>
      <c r="E72" s="576"/>
      <c r="F72" s="576"/>
      <c r="G72" s="574"/>
      <c r="H72" s="574"/>
      <c r="I72" s="574"/>
    </row>
    <row r="73" spans="2:9" ht="15.75">
      <c r="B73" s="573" t="s">
        <v>798</v>
      </c>
      <c r="C73" s="576"/>
      <c r="D73" s="576"/>
      <c r="E73" s="576"/>
      <c r="F73" s="576"/>
      <c r="G73" s="574"/>
      <c r="H73" s="574"/>
      <c r="I73" s="574"/>
    </row>
    <row r="74" spans="2:9" ht="15.75">
      <c r="B74" s="573" t="s">
        <v>799</v>
      </c>
      <c r="C74" s="576"/>
      <c r="D74" s="576"/>
      <c r="E74" s="576"/>
      <c r="F74" s="576"/>
      <c r="G74" s="574"/>
      <c r="H74" s="574"/>
      <c r="I74" s="574"/>
    </row>
    <row r="75" spans="2:9" ht="15">
      <c r="B75" s="576"/>
      <c r="C75" s="576"/>
      <c r="D75" s="576"/>
      <c r="E75" s="576"/>
      <c r="F75" s="576"/>
      <c r="G75" s="574"/>
      <c r="H75" s="574"/>
      <c r="I75" s="574"/>
    </row>
    <row r="76" spans="2:9" ht="15.75">
      <c r="B76" s="575" t="s">
        <v>800</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0 municipal budget has not been published and has not been submitted to the County</v>
      </c>
      <c r="C78" s="576"/>
      <c r="D78" s="576"/>
      <c r="E78" s="576"/>
      <c r="F78" s="576"/>
      <c r="G78" s="574"/>
      <c r="H78" s="574"/>
      <c r="I78" s="574"/>
    </row>
    <row r="79" spans="2:9" ht="15.75">
      <c r="B79" s="573" t="s">
        <v>801</v>
      </c>
      <c r="C79" s="576"/>
      <c r="D79" s="576"/>
      <c r="E79" s="576"/>
      <c r="F79" s="576"/>
      <c r="G79" s="574"/>
      <c r="H79" s="574"/>
      <c r="I79" s="574"/>
    </row>
    <row r="80" spans="2:9" ht="15">
      <c r="B80" s="576"/>
      <c r="C80" s="576"/>
      <c r="D80" s="576"/>
      <c r="E80" s="576"/>
      <c r="F80" s="576"/>
      <c r="G80" s="574"/>
      <c r="H80" s="574"/>
      <c r="I80" s="574"/>
    </row>
    <row r="81" spans="2:9" ht="15.75">
      <c r="B81" s="575" t="s">
        <v>363</v>
      </c>
      <c r="C81" s="576"/>
      <c r="D81" s="576"/>
      <c r="E81" s="576"/>
      <c r="F81" s="576"/>
      <c r="G81" s="574"/>
      <c r="H81" s="574"/>
      <c r="I81" s="574"/>
    </row>
    <row r="82" spans="2:9" ht="15">
      <c r="B82" s="576"/>
      <c r="C82" s="576"/>
      <c r="D82" s="576"/>
      <c r="E82" s="576"/>
      <c r="F82" s="576"/>
      <c r="G82" s="574"/>
      <c r="H82" s="574"/>
      <c r="I82" s="574"/>
    </row>
    <row r="83" spans="2:9" ht="15.75">
      <c r="B83" s="573" t="s">
        <v>802</v>
      </c>
      <c r="C83" s="576"/>
      <c r="D83" s="576"/>
      <c r="E83" s="576"/>
      <c r="F83" s="576"/>
      <c r="G83" s="574"/>
      <c r="H83" s="574"/>
      <c r="I83" s="574"/>
    </row>
    <row r="84" spans="2:9" ht="15.75">
      <c r="B84" s="573" t="str">
        <f>CONCATENATE("Budget Year ",G14," is equal to or greater than that for Current Year Estimate ",E14,".")</f>
        <v>Budget Year 0 is equal to or greater than that for Current Year Estimate -1.</v>
      </c>
      <c r="C84" s="576"/>
      <c r="D84" s="576"/>
      <c r="E84" s="576"/>
      <c r="F84" s="576"/>
      <c r="G84" s="574"/>
      <c r="H84" s="574"/>
      <c r="I84" s="574"/>
    </row>
    <row r="85" spans="2:9" ht="15">
      <c r="B85" s="576"/>
      <c r="C85" s="576"/>
      <c r="D85" s="576"/>
      <c r="E85" s="576"/>
      <c r="F85" s="576"/>
      <c r="G85" s="574"/>
      <c r="H85" s="574"/>
      <c r="I85" s="574"/>
    </row>
    <row r="86" spans="2:9" ht="15.75">
      <c r="B86" s="573" t="s">
        <v>803</v>
      </c>
      <c r="C86" s="576"/>
      <c r="D86" s="576"/>
      <c r="E86" s="576"/>
      <c r="F86" s="576"/>
      <c r="G86" s="574"/>
      <c r="H86" s="574"/>
      <c r="I86" s="574"/>
    </row>
    <row r="87" spans="2:9" ht="15.75">
      <c r="B87" s="573" t="s">
        <v>804</v>
      </c>
      <c r="C87" s="576"/>
      <c r="D87" s="576"/>
      <c r="E87" s="576"/>
      <c r="F87" s="576"/>
      <c r="G87" s="574"/>
      <c r="H87" s="574"/>
      <c r="I87" s="574"/>
    </row>
    <row r="88" spans="2:9" ht="15.75">
      <c r="B88" s="573" t="s">
        <v>805</v>
      </c>
      <c r="C88" s="576"/>
      <c r="D88" s="576"/>
      <c r="E88" s="576"/>
      <c r="F88" s="576"/>
      <c r="G88" s="574"/>
      <c r="H88" s="574"/>
      <c r="I88" s="574"/>
    </row>
    <row r="89" spans="2:9" ht="15.75">
      <c r="B89" s="573" t="str">
        <f>CONCATENATE("purpose for the previous (",E14,") year.")</f>
        <v>purpose for the previous (-1)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0 is budgeted. Often this line is budgeted at $0 or left</v>
      </c>
      <c r="C91" s="576"/>
      <c r="D91" s="576"/>
      <c r="E91" s="576"/>
      <c r="F91" s="576"/>
      <c r="G91" s="574"/>
      <c r="H91" s="574"/>
      <c r="I91" s="574"/>
    </row>
    <row r="92" spans="2:9" ht="15.75">
      <c r="B92" s="573" t="s">
        <v>806</v>
      </c>
      <c r="C92" s="576"/>
      <c r="D92" s="576"/>
      <c r="E92" s="576"/>
      <c r="F92" s="576"/>
      <c r="G92" s="574"/>
      <c r="H92" s="574"/>
      <c r="I92" s="574"/>
    </row>
    <row r="93" spans="2:9" ht="15.75">
      <c r="B93" s="573" t="s">
        <v>807</v>
      </c>
      <c r="C93" s="576"/>
      <c r="D93" s="576"/>
      <c r="E93" s="576"/>
      <c r="F93" s="576"/>
      <c r="G93" s="574"/>
      <c r="H93" s="574"/>
      <c r="I93" s="574"/>
    </row>
    <row r="94" spans="2:9" ht="15.75">
      <c r="B94" s="573" t="s">
        <v>808</v>
      </c>
      <c r="C94" s="576"/>
      <c r="D94" s="576"/>
      <c r="E94" s="576"/>
      <c r="F94" s="576"/>
      <c r="G94" s="574"/>
      <c r="H94" s="574"/>
      <c r="I94" s="574"/>
    </row>
    <row r="95" spans="2:9" ht="15">
      <c r="B95" s="576"/>
      <c r="C95" s="576"/>
      <c r="D95" s="576"/>
      <c r="E95" s="576"/>
      <c r="F95" s="576"/>
      <c r="G95" s="574"/>
      <c r="H95" s="574"/>
      <c r="I95" s="574"/>
    </row>
    <row r="96" spans="2:9" ht="15.75">
      <c r="B96" s="575" t="s">
        <v>809</v>
      </c>
      <c r="C96" s="576"/>
      <c r="D96" s="576"/>
      <c r="E96" s="576"/>
      <c r="F96" s="576"/>
      <c r="G96" s="574"/>
      <c r="H96" s="574"/>
      <c r="I96" s="574"/>
    </row>
    <row r="97" spans="2:9" ht="15">
      <c r="B97" s="576"/>
      <c r="C97" s="576"/>
      <c r="D97" s="576"/>
      <c r="E97" s="576"/>
      <c r="F97" s="576"/>
      <c r="G97" s="574"/>
      <c r="H97" s="574"/>
      <c r="I97" s="574"/>
    </row>
    <row r="98" spans="2:9" ht="15.75">
      <c r="B98" s="573" t="s">
        <v>810</v>
      </c>
      <c r="C98" s="576"/>
      <c r="D98" s="576"/>
      <c r="E98" s="576"/>
      <c r="F98" s="576"/>
      <c r="G98" s="574"/>
      <c r="H98" s="574"/>
      <c r="I98" s="574"/>
    </row>
    <row r="99" spans="2:9" ht="15.75">
      <c r="B99" s="573" t="s">
        <v>811</v>
      </c>
      <c r="C99" s="576"/>
      <c r="D99" s="576"/>
      <c r="E99" s="576"/>
      <c r="F99" s="576"/>
      <c r="G99" s="574"/>
      <c r="H99" s="574"/>
      <c r="I99" s="574"/>
    </row>
    <row r="100" spans="2:9" ht="15">
      <c r="B100" s="576"/>
      <c r="C100" s="576"/>
      <c r="D100" s="576"/>
      <c r="E100" s="576"/>
      <c r="F100" s="576"/>
      <c r="G100" s="574"/>
      <c r="H100" s="574"/>
      <c r="I100" s="574"/>
    </row>
    <row r="101" spans="2:9" ht="15.75">
      <c r="B101" s="573" t="s">
        <v>812</v>
      </c>
      <c r="C101" s="576"/>
      <c r="D101" s="576"/>
      <c r="E101" s="576"/>
      <c r="F101" s="576"/>
      <c r="G101" s="574"/>
      <c r="H101" s="574"/>
      <c r="I101" s="574"/>
    </row>
    <row r="102" spans="2:9" ht="15.75">
      <c r="B102" s="573" t="s">
        <v>813</v>
      </c>
      <c r="C102" s="576"/>
      <c r="D102" s="576"/>
      <c r="E102" s="576"/>
      <c r="F102" s="576"/>
      <c r="G102" s="574"/>
      <c r="H102" s="574"/>
      <c r="I102" s="574"/>
    </row>
    <row r="103" spans="2:9" ht="15.75">
      <c r="B103" s="573" t="s">
        <v>814</v>
      </c>
      <c r="C103" s="576"/>
      <c r="D103" s="576"/>
      <c r="E103" s="576"/>
      <c r="F103" s="576"/>
      <c r="G103" s="574"/>
      <c r="H103" s="574"/>
      <c r="I103" s="574"/>
    </row>
    <row r="104" spans="2:9" ht="15.75">
      <c r="B104" s="573" t="s">
        <v>815</v>
      </c>
      <c r="C104" s="576"/>
      <c r="D104" s="576"/>
      <c r="E104" s="576"/>
      <c r="F104" s="576"/>
      <c r="G104" s="574"/>
      <c r="H104" s="574"/>
      <c r="I104" s="574"/>
    </row>
    <row r="105" spans="2:9" ht="15">
      <c r="B105" s="683" t="s">
        <v>1000</v>
      </c>
      <c r="C105" s="682"/>
      <c r="D105" s="682"/>
      <c r="E105" s="682"/>
      <c r="F105" s="682"/>
      <c r="G105" s="681"/>
      <c r="H105" s="681"/>
      <c r="I105" s="681"/>
    </row>
    <row r="108" ht="15">
      <c r="G108" s="582"/>
    </row>
  </sheetData>
  <sheetProtection sheet="1"/>
  <mergeCells count="6">
    <mergeCell ref="B2:I2"/>
    <mergeCell ref="B3:I3"/>
    <mergeCell ref="B5:I5"/>
    <mergeCell ref="B10:I10"/>
    <mergeCell ref="B36:I36"/>
    <mergeCell ref="B43:I43"/>
  </mergeCells>
  <hyperlinks>
    <hyperlink ref="B105" r:id="rId1" display="megan.schulz@ks.gov "/>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6.xml><?xml version="1.0" encoding="utf-8"?>
<worksheet xmlns="http://schemas.openxmlformats.org/spreadsheetml/2006/main" xmlns:r="http://schemas.openxmlformats.org/officeDocument/2006/relationships">
  <dimension ref="B1:K143"/>
  <sheetViews>
    <sheetView zoomScalePageLayoutView="0" workbookViewId="0" topLeftCell="A1">
      <selection activeCell="M115" sqref="M115"/>
    </sheetView>
  </sheetViews>
  <sheetFormatPr defaultColWidth="8.796875" defaultRowHeight="15"/>
  <cols>
    <col min="1" max="1" width="2.3984375" style="17" customWidth="1"/>
    <col min="2" max="2" width="31.69921875" style="17" customWidth="1"/>
    <col min="3" max="4" width="15.796875" style="17" customWidth="1"/>
    <col min="5" max="5" width="16.19921875" style="17" customWidth="1"/>
    <col min="6" max="6" width="6.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24">
        <f>inputPrYr!D3</f>
        <v>0</v>
      </c>
      <c r="C1" s="16"/>
      <c r="D1" s="16"/>
      <c r="E1" s="177">
        <f>inputPrYr!C6</f>
        <v>0</v>
      </c>
    </row>
    <row r="2" spans="2:5" ht="15.75">
      <c r="B2" s="16"/>
      <c r="C2" s="16"/>
      <c r="D2" s="16"/>
      <c r="E2" s="120"/>
    </row>
    <row r="3" spans="2:5" ht="15.75">
      <c r="B3" s="27"/>
      <c r="C3" s="16"/>
      <c r="D3" s="16"/>
      <c r="E3" s="93"/>
    </row>
    <row r="4" spans="2:5" ht="15.75">
      <c r="B4" s="27" t="s">
        <v>91</v>
      </c>
      <c r="C4" s="186"/>
      <c r="D4" s="186"/>
      <c r="E4" s="186"/>
    </row>
    <row r="5" spans="2:5" ht="15.75">
      <c r="B5" s="122" t="s">
        <v>23</v>
      </c>
      <c r="C5" s="592" t="s">
        <v>758</v>
      </c>
      <c r="D5" s="593" t="s">
        <v>761</v>
      </c>
      <c r="E5" s="99" t="s">
        <v>762</v>
      </c>
    </row>
    <row r="6" spans="2:5" ht="15.75">
      <c r="B6" s="331" t="str">
        <f>inputPrYr!B22</f>
        <v>General</v>
      </c>
      <c r="C6" s="314" t="str">
        <f>CONCATENATE("Actual for ",E1-2,"")</f>
        <v>Actual for -2</v>
      </c>
      <c r="D6" s="314" t="str">
        <f>CONCATENATE("Estimate for ",E1-1,"")</f>
        <v>Estimate for -1</v>
      </c>
      <c r="E6" s="187" t="str">
        <f>CONCATENATE("Year for ",E1,"")</f>
        <v>Year for 0</v>
      </c>
    </row>
    <row r="7" spans="2:5" ht="15.75">
      <c r="B7" s="188" t="s">
        <v>133</v>
      </c>
      <c r="C7" s="189"/>
      <c r="D7" s="313">
        <f>C108</f>
        <v>0</v>
      </c>
      <c r="E7" s="158">
        <f>D108</f>
        <v>0</v>
      </c>
    </row>
    <row r="8" spans="2:5" ht="15.75">
      <c r="B8" s="191" t="s">
        <v>135</v>
      </c>
      <c r="C8" s="113"/>
      <c r="D8" s="113"/>
      <c r="E8" s="51"/>
    </row>
    <row r="9" spans="2:5" ht="15.75">
      <c r="B9" s="188" t="s">
        <v>24</v>
      </c>
      <c r="C9" s="189"/>
      <c r="D9" s="313">
        <f>IF(inputPrYr!H21&gt;0,inputPrYr!G22,inputPrYr!E22)</f>
        <v>0</v>
      </c>
      <c r="E9" s="194" t="s">
        <v>13</v>
      </c>
    </row>
    <row r="10" spans="2:5" ht="15.75">
      <c r="B10" s="188" t="s">
        <v>25</v>
      </c>
      <c r="C10" s="189"/>
      <c r="D10" s="189"/>
      <c r="E10" s="195"/>
    </row>
    <row r="11" spans="2:5" ht="15.75">
      <c r="B11" s="188" t="s">
        <v>26</v>
      </c>
      <c r="C11" s="189"/>
      <c r="D11" s="189"/>
      <c r="E11" s="158">
        <f>mvalloc!D7</f>
        <v>0</v>
      </c>
    </row>
    <row r="12" spans="2:5" ht="15.75">
      <c r="B12" s="188" t="s">
        <v>27</v>
      </c>
      <c r="C12" s="189"/>
      <c r="D12" s="189"/>
      <c r="E12" s="158">
        <f>mvalloc!E7</f>
        <v>0</v>
      </c>
    </row>
    <row r="13" spans="2:5" ht="15.75">
      <c r="B13" s="188" t="s">
        <v>122</v>
      </c>
      <c r="C13" s="189"/>
      <c r="D13" s="189"/>
      <c r="E13" s="158">
        <f>mvalloc!F7</f>
        <v>0</v>
      </c>
    </row>
    <row r="14" spans="2:5" ht="15.75">
      <c r="B14" s="757" t="s">
        <v>978</v>
      </c>
      <c r="C14" s="189"/>
      <c r="D14" s="189"/>
      <c r="E14" s="158">
        <f>mvalloc!G7</f>
        <v>0</v>
      </c>
    </row>
    <row r="15" spans="2:5" ht="15.75">
      <c r="B15" s="757" t="s">
        <v>979</v>
      </c>
      <c r="C15" s="189"/>
      <c r="D15" s="189"/>
      <c r="E15" s="158">
        <f>mvalloc!H7</f>
        <v>0</v>
      </c>
    </row>
    <row r="16" spans="2:5" ht="15.75">
      <c r="B16" s="188" t="s">
        <v>123</v>
      </c>
      <c r="C16" s="189"/>
      <c r="D16" s="189"/>
      <c r="E16" s="158">
        <f>inputOth!E17</f>
        <v>0</v>
      </c>
    </row>
    <row r="17" spans="2:5" ht="15.75">
      <c r="B17" s="188" t="s">
        <v>148</v>
      </c>
      <c r="C17" s="189"/>
      <c r="D17" s="189"/>
      <c r="E17" s="158">
        <f>inputOth!E45</f>
        <v>0</v>
      </c>
    </row>
    <row r="18" spans="2:5" ht="15.75">
      <c r="B18" s="188" t="s">
        <v>149</v>
      </c>
      <c r="C18" s="189"/>
      <c r="D18" s="189"/>
      <c r="E18" s="158">
        <f>inputOth!E46</f>
        <v>0</v>
      </c>
    </row>
    <row r="19" spans="2:5" ht="15.75">
      <c r="B19" s="192" t="s">
        <v>30</v>
      </c>
      <c r="C19" s="189"/>
      <c r="D19" s="189"/>
      <c r="E19" s="36"/>
    </row>
    <row r="20" spans="2:5" ht="15.75">
      <c r="B20" s="192" t="s">
        <v>28</v>
      </c>
      <c r="C20" s="189"/>
      <c r="D20" s="189"/>
      <c r="E20" s="36"/>
    </row>
    <row r="21" spans="2:5" ht="15.75">
      <c r="B21" s="472" t="s">
        <v>707</v>
      </c>
      <c r="C21" s="189"/>
      <c r="D21" s="189"/>
      <c r="E21" s="36"/>
    </row>
    <row r="22" spans="2:5" ht="15.75">
      <c r="B22" s="473" t="s">
        <v>708</v>
      </c>
      <c r="C22" s="189"/>
      <c r="D22" s="189"/>
      <c r="E22" s="36"/>
    </row>
    <row r="23" spans="2:5" ht="15.75">
      <c r="B23" s="473" t="s">
        <v>709</v>
      </c>
      <c r="C23" s="189"/>
      <c r="D23" s="189"/>
      <c r="E23" s="36"/>
    </row>
    <row r="24" spans="2:5" ht="15.75">
      <c r="B24" s="473" t="s">
        <v>710</v>
      </c>
      <c r="C24" s="189"/>
      <c r="D24" s="189"/>
      <c r="E24" s="36"/>
    </row>
    <row r="25" spans="2:5" ht="15.75">
      <c r="B25" s="473"/>
      <c r="C25" s="189"/>
      <c r="D25" s="189"/>
      <c r="E25" s="36"/>
    </row>
    <row r="26" spans="2:5" ht="15.75">
      <c r="B26" s="192"/>
      <c r="C26" s="189"/>
      <c r="D26" s="189"/>
      <c r="E26" s="36"/>
    </row>
    <row r="27" spans="2:5" ht="15.75">
      <c r="B27" s="192"/>
      <c r="C27" s="189"/>
      <c r="D27" s="189"/>
      <c r="E27" s="36"/>
    </row>
    <row r="28" spans="2:5" ht="15.75">
      <c r="B28" s="192"/>
      <c r="C28" s="189"/>
      <c r="D28" s="189"/>
      <c r="E28" s="36"/>
    </row>
    <row r="29" spans="2:5" ht="15.75">
      <c r="B29" s="192"/>
      <c r="C29" s="189"/>
      <c r="D29" s="189"/>
      <c r="E29" s="36"/>
    </row>
    <row r="30" spans="2:5" ht="15.75">
      <c r="B30" s="192"/>
      <c r="C30" s="189"/>
      <c r="D30" s="189"/>
      <c r="E30" s="36"/>
    </row>
    <row r="31" spans="2:5" ht="15.75">
      <c r="B31" s="192"/>
      <c r="C31" s="189"/>
      <c r="D31" s="189"/>
      <c r="E31" s="36"/>
    </row>
    <row r="32" spans="2:5" ht="15.75">
      <c r="B32" s="192"/>
      <c r="C32" s="189"/>
      <c r="D32" s="189"/>
      <c r="E32" s="36"/>
    </row>
    <row r="33" spans="2:5" ht="15.75">
      <c r="B33" s="192"/>
      <c r="C33" s="189"/>
      <c r="D33" s="189"/>
      <c r="E33" s="36"/>
    </row>
    <row r="34" spans="2:5" ht="15.75">
      <c r="B34" s="192"/>
      <c r="C34" s="189"/>
      <c r="D34" s="189"/>
      <c r="E34" s="36"/>
    </row>
    <row r="35" spans="2:5" ht="15.75">
      <c r="B35" s="192"/>
      <c r="C35" s="189"/>
      <c r="D35" s="189"/>
      <c r="E35" s="36"/>
    </row>
    <row r="36" spans="2:5" ht="15.75">
      <c r="B36" s="192"/>
      <c r="C36" s="189"/>
      <c r="D36" s="189"/>
      <c r="E36" s="36"/>
    </row>
    <row r="37" spans="2:5" ht="15.75">
      <c r="B37" s="192"/>
      <c r="C37" s="189"/>
      <c r="D37" s="189"/>
      <c r="E37" s="36"/>
    </row>
    <row r="38" spans="2:5" ht="15.75">
      <c r="B38" s="192"/>
      <c r="C38" s="189"/>
      <c r="D38" s="189"/>
      <c r="E38" s="36"/>
    </row>
    <row r="39" spans="2:5" ht="15.75">
      <c r="B39" s="192"/>
      <c r="C39" s="189"/>
      <c r="D39" s="189"/>
      <c r="E39" s="36"/>
    </row>
    <row r="40" spans="2:5" ht="15.75">
      <c r="B40" s="192"/>
      <c r="C40" s="189"/>
      <c r="D40" s="189"/>
      <c r="E40" s="36"/>
    </row>
    <row r="41" spans="2:5" ht="15.75">
      <c r="B41" s="192"/>
      <c r="C41" s="189"/>
      <c r="D41" s="189"/>
      <c r="E41" s="36"/>
    </row>
    <row r="42" spans="2:5" ht="15.75">
      <c r="B42" s="192"/>
      <c r="C42" s="189"/>
      <c r="D42" s="189"/>
      <c r="E42" s="36"/>
    </row>
    <row r="43" spans="2:5" ht="15.75">
      <c r="B43" s="192"/>
      <c r="C43" s="189"/>
      <c r="D43" s="189"/>
      <c r="E43" s="36"/>
    </row>
    <row r="44" spans="2:5" ht="15.75">
      <c r="B44" s="192"/>
      <c r="C44" s="189"/>
      <c r="D44" s="189"/>
      <c r="E44" s="36"/>
    </row>
    <row r="45" spans="2:5" ht="15.75">
      <c r="B45" s="192"/>
      <c r="C45" s="189"/>
      <c r="D45" s="189"/>
      <c r="E45" s="36"/>
    </row>
    <row r="46" spans="2:5" ht="15.75">
      <c r="B46" s="192"/>
      <c r="C46" s="189"/>
      <c r="D46" s="189"/>
      <c r="E46" s="36"/>
    </row>
    <row r="47" spans="2:5" ht="15.75">
      <c r="B47" s="192"/>
      <c r="C47" s="189"/>
      <c r="D47" s="189"/>
      <c r="E47" s="36"/>
    </row>
    <row r="48" spans="2:5" ht="15.75">
      <c r="B48" s="192"/>
      <c r="C48" s="189"/>
      <c r="D48" s="189"/>
      <c r="E48" s="36"/>
    </row>
    <row r="49" spans="2:5" ht="15.75">
      <c r="B49" s="192"/>
      <c r="C49" s="189"/>
      <c r="D49" s="189"/>
      <c r="E49" s="36"/>
    </row>
    <row r="50" spans="2:5" ht="15.75">
      <c r="B50" s="192"/>
      <c r="C50" s="189"/>
      <c r="D50" s="189"/>
      <c r="E50" s="36"/>
    </row>
    <row r="51" spans="2:5" ht="15.75">
      <c r="B51" s="192"/>
      <c r="C51" s="189"/>
      <c r="D51" s="189"/>
      <c r="E51" s="36"/>
    </row>
    <row r="52" spans="2:5" ht="15.75">
      <c r="B52" s="192"/>
      <c r="C52" s="189"/>
      <c r="D52" s="189"/>
      <c r="E52" s="36"/>
    </row>
    <row r="53" spans="2:5" ht="15.75">
      <c r="B53" s="192"/>
      <c r="C53" s="189"/>
      <c r="D53" s="189"/>
      <c r="E53" s="36"/>
    </row>
    <row r="54" spans="2:5" ht="15.75">
      <c r="B54" s="474" t="s">
        <v>29</v>
      </c>
      <c r="C54" s="189"/>
      <c r="D54" s="189"/>
      <c r="E54" s="36"/>
    </row>
    <row r="55" spans="2:5" ht="15.75">
      <c r="B55" s="196" t="s">
        <v>31</v>
      </c>
      <c r="C55" s="189"/>
      <c r="D55" s="189"/>
      <c r="E55" s="36"/>
    </row>
    <row r="56" spans="2:5" ht="15.75">
      <c r="B56" s="205" t="s">
        <v>237</v>
      </c>
      <c r="C56" s="189"/>
      <c r="D56" s="189"/>
      <c r="E56" s="821">
        <f>nhood!E6*-1</f>
        <v>0</v>
      </c>
    </row>
    <row r="57" spans="2:5" ht="15.75">
      <c r="B57" s="113" t="s">
        <v>236</v>
      </c>
      <c r="C57" s="189"/>
      <c r="D57" s="36"/>
      <c r="E57" s="190"/>
    </row>
    <row r="58" spans="2:5" ht="15.75">
      <c r="B58" s="188" t="s">
        <v>746</v>
      </c>
      <c r="C58" s="311">
        <f>IF(C59*0.1&lt;C57,"Exceed 10% Rule","")</f>
      </c>
      <c r="D58" s="318">
        <f>IF(D59*0.1&lt;D57,"Exceed 10% Rule","")</f>
      </c>
      <c r="E58" s="197">
        <f>IF(E59*0.1+E114&lt;E57,"Exceed 10% Rule","")</f>
      </c>
    </row>
    <row r="59" spans="2:5" ht="15.75">
      <c r="B59" s="198" t="s">
        <v>32</v>
      </c>
      <c r="C59" s="328">
        <f>SUM(C9:C57)</f>
        <v>0</v>
      </c>
      <c r="D59" s="328">
        <f>SUM(D9:D57)</f>
        <v>0</v>
      </c>
      <c r="E59" s="199">
        <f>SUM(E10:E57)</f>
        <v>0</v>
      </c>
    </row>
    <row r="60" spans="2:5" ht="15.75">
      <c r="B60" s="198" t="s">
        <v>33</v>
      </c>
      <c r="C60" s="328">
        <f>C7+C59</f>
        <v>0</v>
      </c>
      <c r="D60" s="328">
        <f>D7+D59</f>
        <v>0</v>
      </c>
      <c r="E60" s="199">
        <f>E7+E59</f>
        <v>0</v>
      </c>
    </row>
    <row r="61" spans="2:5" ht="15.75">
      <c r="B61" s="16"/>
      <c r="C61" s="16"/>
      <c r="D61" s="16"/>
      <c r="E61" s="16"/>
    </row>
    <row r="62" spans="2:5" ht="15.75">
      <c r="B62" s="123"/>
      <c r="C62" s="93" t="s">
        <v>42</v>
      </c>
      <c r="D62" s="122">
        <f>IF(inputPrYr!D24&gt;0,8,7)</f>
        <v>7</v>
      </c>
      <c r="E62" s="123"/>
    </row>
    <row r="63" spans="2:5" ht="15.75">
      <c r="B63" s="123"/>
      <c r="C63" s="123"/>
      <c r="D63" s="123"/>
      <c r="E63" s="123"/>
    </row>
    <row r="64" spans="2:5" ht="15.75">
      <c r="B64" s="124">
        <f>inputPrYr!D3</f>
        <v>0</v>
      </c>
      <c r="C64" s="16"/>
      <c r="D64" s="16"/>
      <c r="E64" s="120"/>
    </row>
    <row r="65" spans="2:5" ht="15.75">
      <c r="B65" s="16"/>
      <c r="C65" s="16"/>
      <c r="D65" s="16"/>
      <c r="E65" s="93"/>
    </row>
    <row r="66" spans="2:5" ht="15.75">
      <c r="B66" s="182" t="s">
        <v>90</v>
      </c>
      <c r="C66" s="152"/>
      <c r="D66" s="152"/>
      <c r="E66" s="152"/>
    </row>
    <row r="67" spans="2:5" ht="15.75">
      <c r="B67" s="16" t="s">
        <v>23</v>
      </c>
      <c r="C67" s="592" t="str">
        <f aca="true" t="shared" si="0" ref="C67:E68">C5</f>
        <v>Prior Year </v>
      </c>
      <c r="D67" s="593" t="str">
        <f t="shared" si="0"/>
        <v>Current Year </v>
      </c>
      <c r="E67" s="99" t="str">
        <f t="shared" si="0"/>
        <v>Proposed Budget </v>
      </c>
    </row>
    <row r="68" spans="2:5" ht="15.75">
      <c r="B68" s="137" t="str">
        <f>inputPrYr!B22</f>
        <v>General</v>
      </c>
      <c r="C68" s="314" t="str">
        <f t="shared" si="0"/>
        <v>Actual for -2</v>
      </c>
      <c r="D68" s="314" t="str">
        <f t="shared" si="0"/>
        <v>Estimate for -1</v>
      </c>
      <c r="E68" s="187" t="str">
        <f t="shared" si="0"/>
        <v>Year for 0</v>
      </c>
    </row>
    <row r="69" spans="2:5" ht="15.75">
      <c r="B69" s="200" t="s">
        <v>33</v>
      </c>
      <c r="C69" s="313">
        <f>C60</f>
        <v>0</v>
      </c>
      <c r="D69" s="313">
        <f>D60</f>
        <v>0</v>
      </c>
      <c r="E69" s="158">
        <f>E60</f>
        <v>0</v>
      </c>
    </row>
    <row r="70" spans="2:5" ht="15.75">
      <c r="B70" s="188" t="s">
        <v>35</v>
      </c>
      <c r="C70" s="113"/>
      <c r="D70" s="113"/>
      <c r="E70" s="51"/>
    </row>
    <row r="71" spans="2:5" ht="15.75">
      <c r="B71" s="201">
        <f>GenDetail!A7</f>
        <v>0</v>
      </c>
      <c r="C71" s="329">
        <f>GenDetail!B15</f>
        <v>0</v>
      </c>
      <c r="D71" s="329">
        <f>GenDetail!C15</f>
        <v>0</v>
      </c>
      <c r="E71" s="43">
        <f>GenDetail!D15</f>
        <v>0</v>
      </c>
    </row>
    <row r="72" spans="2:5" ht="15.75">
      <c r="B72" s="201">
        <f>GenDetail!A16</f>
        <v>0</v>
      </c>
      <c r="C72" s="329">
        <f>GenDetail!B21</f>
        <v>0</v>
      </c>
      <c r="D72" s="329">
        <f>GenDetail!C21</f>
        <v>0</v>
      </c>
      <c r="E72" s="43">
        <f>GenDetail!D21</f>
        <v>0</v>
      </c>
    </row>
    <row r="73" spans="2:5" ht="15.75">
      <c r="B73" s="201">
        <f>GenDetail!A22</f>
        <v>0</v>
      </c>
      <c r="C73" s="329">
        <f>GenDetail!B27</f>
        <v>0</v>
      </c>
      <c r="D73" s="329">
        <f>GenDetail!C27</f>
        <v>0</v>
      </c>
      <c r="E73" s="43">
        <f>GenDetail!D27</f>
        <v>0</v>
      </c>
    </row>
    <row r="74" spans="2:5" ht="15.75">
      <c r="B74" s="201">
        <f>GenDetail!A28</f>
        <v>0</v>
      </c>
      <c r="C74" s="329">
        <f>GenDetail!B33</f>
        <v>0</v>
      </c>
      <c r="D74" s="329">
        <f>GenDetail!C33</f>
        <v>0</v>
      </c>
      <c r="E74" s="43">
        <f>GenDetail!D33</f>
        <v>0</v>
      </c>
    </row>
    <row r="75" spans="2:5" ht="15.75">
      <c r="B75" s="201">
        <f>GenDetail!A34</f>
        <v>0</v>
      </c>
      <c r="C75" s="329">
        <f>GenDetail!B39</f>
        <v>0</v>
      </c>
      <c r="D75" s="329">
        <f>GenDetail!C39</f>
        <v>0</v>
      </c>
      <c r="E75" s="43">
        <f>GenDetail!D39</f>
        <v>0</v>
      </c>
    </row>
    <row r="76" spans="2:5" ht="15.75">
      <c r="B76" s="201">
        <f>GenDetail!A40</f>
        <v>0</v>
      </c>
      <c r="C76" s="329">
        <f>GenDetail!B45</f>
        <v>0</v>
      </c>
      <c r="D76" s="329">
        <f>GenDetail!C45</f>
        <v>0</v>
      </c>
      <c r="E76" s="43">
        <f>GenDetail!D45</f>
        <v>0</v>
      </c>
    </row>
    <row r="77" spans="2:5" ht="15.75">
      <c r="B77" s="201">
        <f>GenDetail!A46</f>
        <v>0</v>
      </c>
      <c r="C77" s="329">
        <f>GenDetail!B51</f>
        <v>0</v>
      </c>
      <c r="D77" s="329">
        <f>GenDetail!C51</f>
        <v>0</v>
      </c>
      <c r="E77" s="43">
        <f>GenDetail!D51</f>
        <v>0</v>
      </c>
    </row>
    <row r="78" spans="2:6" ht="15.75">
      <c r="B78" s="201">
        <f>GenDetail!A52</f>
        <v>0</v>
      </c>
      <c r="C78" s="329">
        <f>GenDetail!B57</f>
        <v>0</v>
      </c>
      <c r="D78" s="329">
        <f>GenDetail!C57</f>
        <v>0</v>
      </c>
      <c r="E78" s="43">
        <f>GenDetail!D57</f>
        <v>0</v>
      </c>
      <c r="F78" s="203"/>
    </row>
    <row r="79" spans="2:5" ht="15.75">
      <c r="B79" s="202" t="s">
        <v>589</v>
      </c>
      <c r="C79" s="374">
        <f>SUM(C71:C78)</f>
        <v>0</v>
      </c>
      <c r="D79" s="374">
        <f>SUM(D71:D78)</f>
        <v>0</v>
      </c>
      <c r="E79" s="219">
        <f>SUM(E71:E78)</f>
        <v>0</v>
      </c>
    </row>
    <row r="80" spans="2:5" ht="15.75">
      <c r="B80" s="196"/>
      <c r="C80" s="189"/>
      <c r="D80" s="189"/>
      <c r="E80" s="36"/>
    </row>
    <row r="81" spans="2:5" ht="15.75">
      <c r="B81" s="204"/>
      <c r="C81" s="189"/>
      <c r="D81" s="189"/>
      <c r="E81" s="36"/>
    </row>
    <row r="82" spans="2:5" ht="15.75">
      <c r="B82" s="204"/>
      <c r="C82" s="189"/>
      <c r="D82" s="189"/>
      <c r="E82" s="36"/>
    </row>
    <row r="83" spans="2:5" ht="15.75">
      <c r="B83" s="204"/>
      <c r="C83" s="189"/>
      <c r="D83" s="189"/>
      <c r="E83" s="36"/>
    </row>
    <row r="84" spans="2:5" ht="15.75">
      <c r="B84" s="204"/>
      <c r="C84" s="189"/>
      <c r="D84" s="189"/>
      <c r="E84" s="36"/>
    </row>
    <row r="85" spans="2:5" ht="15.75">
      <c r="B85" s="204"/>
      <c r="C85" s="189"/>
      <c r="D85" s="189"/>
      <c r="E85" s="36"/>
    </row>
    <row r="86" spans="2:5" ht="15.75">
      <c r="B86" s="204"/>
      <c r="C86" s="189"/>
      <c r="D86" s="189"/>
      <c r="E86" s="36"/>
    </row>
    <row r="87" spans="2:5" ht="15.75">
      <c r="B87" s="204"/>
      <c r="C87" s="189"/>
      <c r="D87" s="189"/>
      <c r="E87" s="36"/>
    </row>
    <row r="88" spans="2:5" ht="15.75">
      <c r="B88" s="204"/>
      <c r="C88" s="189"/>
      <c r="D88" s="189"/>
      <c r="E88" s="36"/>
    </row>
    <row r="89" spans="2:5" ht="15.75">
      <c r="B89" s="204"/>
      <c r="C89" s="189"/>
      <c r="D89" s="189"/>
      <c r="E89" s="36"/>
    </row>
    <row r="90" spans="2:10" ht="15.75">
      <c r="B90" s="204"/>
      <c r="C90" s="189"/>
      <c r="D90" s="189"/>
      <c r="E90" s="36"/>
      <c r="G90" s="1022" t="str">
        <f>CONCATENATE("Desired Carryover Into ",E1+1,"")</f>
        <v>Desired Carryover Into 1</v>
      </c>
      <c r="H90" s="1023"/>
      <c r="I90" s="1023"/>
      <c r="J90" s="1024"/>
    </row>
    <row r="91" spans="2:10" ht="15.75">
      <c r="B91" s="204"/>
      <c r="C91" s="189"/>
      <c r="D91" s="189"/>
      <c r="E91" s="36"/>
      <c r="G91" s="437"/>
      <c r="H91" s="436"/>
      <c r="I91" s="436"/>
      <c r="J91" s="438"/>
    </row>
    <row r="92" spans="2:10" ht="15.75">
      <c r="B92" s="204"/>
      <c r="C92" s="189"/>
      <c r="D92" s="189"/>
      <c r="E92" s="36"/>
      <c r="G92" s="368" t="s">
        <v>592</v>
      </c>
      <c r="H92" s="362"/>
      <c r="I92" s="362"/>
      <c r="J92" s="357">
        <v>0</v>
      </c>
    </row>
    <row r="93" spans="2:10" ht="15.75">
      <c r="B93" s="204"/>
      <c r="C93" s="189"/>
      <c r="D93" s="189"/>
      <c r="E93" s="36"/>
      <c r="G93" s="440" t="s">
        <v>593</v>
      </c>
      <c r="H93" s="355"/>
      <c r="I93" s="356"/>
      <c r="J93" s="435">
        <f>IF(J92=0,"",ROUND((J92+E114-G105)/inputOth!E7*1000,3)-G110)</f>
      </c>
    </row>
    <row r="94" spans="2:10" ht="15.75">
      <c r="B94" s="204"/>
      <c r="C94" s="189"/>
      <c r="D94" s="189"/>
      <c r="E94" s="36"/>
      <c r="G94" s="527" t="str">
        <f>CONCATENATE("",E1," Tot Exp/Non-Appr Must Be:")</f>
        <v>0 Tot Exp/Non-Appr Must Be:</v>
      </c>
      <c r="H94" s="528"/>
      <c r="I94" s="529"/>
      <c r="J94" s="530">
        <f>IF(J92&gt;0,IF(E111&lt;E60,IF(J92=G105,E111,((J92-G105)*(1-D113))+E60),E111+(J92-G105)),0)</f>
        <v>0</v>
      </c>
    </row>
    <row r="95" spans="2:10" ht="15.75">
      <c r="B95" s="204"/>
      <c r="C95" s="189"/>
      <c r="D95" s="189"/>
      <c r="E95" s="36"/>
      <c r="G95" s="548" t="s">
        <v>763</v>
      </c>
      <c r="H95" s="526"/>
      <c r="I95" s="526"/>
      <c r="J95" s="656">
        <f>IF(J92&gt;0,J94-E111,0)</f>
        <v>0</v>
      </c>
    </row>
    <row r="96" spans="2:5" ht="15.75">
      <c r="B96" s="204"/>
      <c r="C96" s="189"/>
      <c r="D96" s="189"/>
      <c r="E96" s="36"/>
    </row>
    <row r="97" spans="2:10" ht="15.75">
      <c r="B97" s="204"/>
      <c r="C97" s="189"/>
      <c r="D97" s="189"/>
      <c r="E97" s="36"/>
      <c r="G97" s="1022" t="str">
        <f>CONCATENATE("Projected Carryover Into ",E1+1,"")</f>
        <v>Projected Carryover Into 1</v>
      </c>
      <c r="H97" s="1030"/>
      <c r="I97" s="1030"/>
      <c r="J97" s="1031"/>
    </row>
    <row r="98" spans="2:10" ht="15.75">
      <c r="B98" s="204"/>
      <c r="C98" s="189"/>
      <c r="D98" s="189"/>
      <c r="E98" s="36"/>
      <c r="G98" s="437"/>
      <c r="H98" s="436"/>
      <c r="I98" s="436"/>
      <c r="J98" s="438"/>
    </row>
    <row r="99" spans="2:10" ht="15.75">
      <c r="B99" s="204"/>
      <c r="C99" s="189"/>
      <c r="D99" s="189"/>
      <c r="E99" s="36"/>
      <c r="G99" s="359">
        <f>D108</f>
        <v>0</v>
      </c>
      <c r="H99" s="360" t="str">
        <f>CONCATENATE("",E1-1," Ending Cash Balance (est.)")</f>
        <v>-1 Ending Cash Balance (est.)</v>
      </c>
      <c r="I99" s="361"/>
      <c r="J99" s="438"/>
    </row>
    <row r="100" spans="2:10" ht="15.75">
      <c r="B100" s="204"/>
      <c r="C100" s="189"/>
      <c r="D100" s="189"/>
      <c r="E100" s="36"/>
      <c r="G100" s="359">
        <f>E59</f>
        <v>0</v>
      </c>
      <c r="H100" s="362" t="str">
        <f>CONCATENATE("",E1," Non-AV Receipts (est.)")</f>
        <v>0 Non-AV Receipts (est.)</v>
      </c>
      <c r="I100" s="361"/>
      <c r="J100" s="438"/>
    </row>
    <row r="101" spans="2:11" ht="15.75">
      <c r="B101" s="204"/>
      <c r="C101" s="189"/>
      <c r="D101" s="189"/>
      <c r="E101" s="36"/>
      <c r="G101" s="363">
        <f>IF(E113&gt;0,E112,E114)</f>
        <v>0</v>
      </c>
      <c r="H101" s="362" t="str">
        <f>CONCATENATE("",E1," Ad Valorem Tax (est.)")</f>
        <v>0 Ad Valorem Tax (est.)</v>
      </c>
      <c r="I101" s="361"/>
      <c r="J101" s="438"/>
      <c r="K101" s="661">
        <f>IF(G101=E114,"","Note: Does not include Delinquent Taxes")</f>
      </c>
    </row>
    <row r="102" spans="2:10" ht="15.75">
      <c r="B102" s="204"/>
      <c r="C102" s="189"/>
      <c r="D102" s="189"/>
      <c r="E102" s="36"/>
      <c r="G102" s="359">
        <f>SUM(G99:G101)</f>
        <v>0</v>
      </c>
      <c r="H102" s="362" t="str">
        <f>CONCATENATE("Total ",E1," Resources Available")</f>
        <v>Total 0 Resources Available</v>
      </c>
      <c r="I102" s="361"/>
      <c r="J102" s="438"/>
    </row>
    <row r="103" spans="2:10" ht="15.75">
      <c r="B103" s="204"/>
      <c r="C103" s="189"/>
      <c r="D103" s="189"/>
      <c r="E103" s="36"/>
      <c r="G103" s="364"/>
      <c r="H103" s="362"/>
      <c r="I103" s="362"/>
      <c r="J103" s="438"/>
    </row>
    <row r="104" spans="2:10" ht="15.75" customHeight="1">
      <c r="B104" s="794" t="str">
        <f>CONCATENATE("Cash Forward (",E1," column)")</f>
        <v>Cash Forward (0 column)</v>
      </c>
      <c r="C104" s="189"/>
      <c r="D104" s="189"/>
      <c r="E104" s="36"/>
      <c r="G104" s="363">
        <f>ROUND(C107*0.05+C107,0)</f>
        <v>0</v>
      </c>
      <c r="H104" s="362" t="str">
        <f>CONCATENATE("Less ",E1-2," Expenditures + 5%")</f>
        <v>Less -2 Expenditures + 5%</v>
      </c>
      <c r="I104" s="361"/>
      <c r="J104" s="358"/>
    </row>
    <row r="105" spans="2:10" ht="15.75">
      <c r="B105" s="205" t="s">
        <v>236</v>
      </c>
      <c r="C105" s="189"/>
      <c r="D105" s="189"/>
      <c r="E105" s="36"/>
      <c r="G105" s="369">
        <f>G102-G104</f>
        <v>0</v>
      </c>
      <c r="H105" s="365" t="str">
        <f>CONCATENATE("Projected ",E1+1," Carryover (est.)")</f>
        <v>Projected 1 Carryover (est.)</v>
      </c>
      <c r="I105" s="366"/>
      <c r="J105" s="367"/>
    </row>
    <row r="106" spans="2:5" ht="15.75">
      <c r="B106" s="205" t="s">
        <v>747</v>
      </c>
      <c r="C106" s="311">
        <f>IF(C107*0.1&lt;C105,"Exceed 10% Rule","")</f>
      </c>
      <c r="D106" s="318">
        <f>IF(D107*0.1&lt;D105,"Exceed 10% Rule","")</f>
      </c>
      <c r="E106" s="218">
        <f>IF(E107*0.1&lt;E105,"Exceed 10% Rule","")</f>
      </c>
    </row>
    <row r="107" spans="2:10" ht="15.75">
      <c r="B107" s="198" t="s">
        <v>39</v>
      </c>
      <c r="C107" s="328">
        <f>SUM(C79:C105)</f>
        <v>0</v>
      </c>
      <c r="D107" s="328">
        <f>SUM(D79:D105)</f>
        <v>0</v>
      </c>
      <c r="E107" s="199">
        <f>SUM(E79:E105)</f>
        <v>0</v>
      </c>
      <c r="G107" s="1032" t="s">
        <v>819</v>
      </c>
      <c r="H107" s="1033"/>
      <c r="I107" s="1033"/>
      <c r="J107" s="1034"/>
    </row>
    <row r="108" spans="2:10" ht="15.75">
      <c r="B108" s="105" t="s">
        <v>134</v>
      </c>
      <c r="C108" s="329">
        <f>C60-C107</f>
        <v>0</v>
      </c>
      <c r="D108" s="329">
        <f>D60-D107</f>
        <v>0</v>
      </c>
      <c r="E108" s="217" t="s">
        <v>13</v>
      </c>
      <c r="G108" s="595"/>
      <c r="H108" s="596"/>
      <c r="I108" s="597"/>
      <c r="J108" s="598"/>
    </row>
    <row r="109" spans="2:10" ht="15.75">
      <c r="B109" s="122" t="str">
        <f>CONCATENATE("",E1-2,"/",E1-1,"/",E1," Budget Authority Amount:")</f>
        <v>-2/-1/0 Budget Authority Amount:</v>
      </c>
      <c r="C109" s="478">
        <f>inputOth!B64</f>
        <v>0</v>
      </c>
      <c r="D109" s="685">
        <f>inputPrYr!D22</f>
        <v>0</v>
      </c>
      <c r="E109" s="158">
        <f>E107</f>
        <v>0</v>
      </c>
      <c r="F109" s="207"/>
      <c r="G109" s="599" t="str">
        <f>summ!H16</f>
        <v>  </v>
      </c>
      <c r="H109" s="596" t="str">
        <f>CONCATENATE("",E1," Fund Mill Rate")</f>
        <v>0 Fund Mill Rate</v>
      </c>
      <c r="I109" s="597"/>
      <c r="J109" s="598"/>
    </row>
    <row r="110" spans="2:10" ht="15.75">
      <c r="B110" s="93"/>
      <c r="C110" s="1025" t="s">
        <v>584</v>
      </c>
      <c r="D110" s="1026"/>
      <c r="E110" s="36"/>
      <c r="F110" s="350">
        <f>IF((E107/0.95)-E107&lt;E110,"Exceeds 5% ","")</f>
      </c>
      <c r="G110" s="600" t="str">
        <f>summ!E16</f>
        <v>  </v>
      </c>
      <c r="H110" s="596" t="str">
        <f>CONCATENATE("",E1-1," Fund Mill Rate")</f>
        <v>-1 Fund Mill Rate</v>
      </c>
      <c r="I110" s="597"/>
      <c r="J110" s="598"/>
    </row>
    <row r="111" spans="2:10" ht="15.75">
      <c r="B111" s="334" t="str">
        <f>CONCATENATE(C142,"     ",D142)</f>
        <v>     </v>
      </c>
      <c r="C111" s="1027" t="s">
        <v>585</v>
      </c>
      <c r="D111" s="1028"/>
      <c r="E111" s="158">
        <f>E107+E110</f>
        <v>0</v>
      </c>
      <c r="G111" s="601">
        <f>summ!H43</f>
        <v>0</v>
      </c>
      <c r="H111" s="596" t="str">
        <f>CONCATENATE("Total ",E1," Mill Rate")</f>
        <v>Total 0 Mill Rate</v>
      </c>
      <c r="I111" s="597"/>
      <c r="J111" s="598"/>
    </row>
    <row r="112" spans="2:10" ht="15.75">
      <c r="B112" s="334" t="str">
        <f>CONCATENATE(C143,"     ",D143)</f>
        <v>     </v>
      </c>
      <c r="C112" s="208"/>
      <c r="D112" s="120" t="s">
        <v>40</v>
      </c>
      <c r="E112" s="43">
        <f>IF(E111-E60&gt;0,E111-E60,0)</f>
        <v>0</v>
      </c>
      <c r="G112" s="600">
        <f>summ!E43</f>
        <v>0</v>
      </c>
      <c r="H112" s="602" t="str">
        <f>CONCATENATE("Total ",E1-1," Mill Rate")</f>
        <v>Total -1 Mill Rate</v>
      </c>
      <c r="I112" s="603"/>
      <c r="J112" s="604"/>
    </row>
    <row r="113" spans="2:11" ht="15.75">
      <c r="B113" s="93"/>
      <c r="C113" s="320" t="s">
        <v>586</v>
      </c>
      <c r="D113" s="550">
        <f>inputOth!E50</f>
        <v>0</v>
      </c>
      <c r="E113" s="43">
        <f>ROUND(IF(D113&gt;0,(E112*D113),0),0)</f>
        <v>0</v>
      </c>
      <c r="K113" s="525"/>
    </row>
    <row r="114" spans="2:10" ht="16.5" thickBot="1">
      <c r="B114" s="16"/>
      <c r="C114" s="1018" t="str">
        <f>CONCATENATE("Amount of  ",$E$1-1," Ad Valorem Tax")</f>
        <v>Amount of  -1 Ad Valorem Tax</v>
      </c>
      <c r="D114" s="1029"/>
      <c r="E114" s="317">
        <f>E112+E113</f>
        <v>0</v>
      </c>
      <c r="G114" s="776"/>
      <c r="H114" s="793"/>
      <c r="I114" s="775"/>
      <c r="J114" s="792"/>
    </row>
    <row r="115" spans="2:10" ht="16.5" thickTop="1">
      <c r="B115" s="16"/>
      <c r="C115" s="1018"/>
      <c r="D115" s="1019"/>
      <c r="E115" s="594"/>
      <c r="G115" s="779" t="str">
        <f>CONCATENATE("Computed ",E1," tax levy limit amount")</f>
        <v>Computed 0 tax levy limit amount</v>
      </c>
      <c r="H115" s="817"/>
      <c r="I115" s="817"/>
      <c r="J115" s="818">
        <f>Comp1!J47</f>
        <v>0</v>
      </c>
    </row>
    <row r="116" spans="2:10" ht="15.75">
      <c r="B116" s="961" t="s">
        <v>999</v>
      </c>
      <c r="C116" s="1016"/>
      <c r="D116" s="1017"/>
      <c r="E116" s="837"/>
      <c r="G116" s="778" t="str">
        <f>CONCATENATE("Total ",E1," tax levy amount")</f>
        <v>Total 0 tax levy amount</v>
      </c>
      <c r="H116" s="819"/>
      <c r="I116" s="819"/>
      <c r="J116" s="820">
        <f>summ!G43</f>
        <v>0</v>
      </c>
    </row>
    <row r="117" spans="2:5" ht="15.75">
      <c r="B117" s="48"/>
      <c r="C117" s="1018"/>
      <c r="D117" s="1019"/>
      <c r="E117" s="838"/>
    </row>
    <row r="118" spans="2:5" ht="15.75">
      <c r="B118" s="512"/>
      <c r="C118" s="1020"/>
      <c r="D118" s="1021"/>
      <c r="E118" s="840"/>
    </row>
    <row r="119" spans="2:5" ht="15.75">
      <c r="B119" s="16"/>
      <c r="C119" s="16"/>
      <c r="D119" s="16"/>
      <c r="E119" s="16"/>
    </row>
    <row r="120" spans="2:5" ht="15.75">
      <c r="B120" s="123"/>
      <c r="C120" s="93" t="s">
        <v>42</v>
      </c>
      <c r="D120" s="122" t="str">
        <f>CONCATENATE("",D62,"a")</f>
        <v>7a</v>
      </c>
      <c r="E120" s="123"/>
    </row>
    <row r="122" ht="15.75">
      <c r="B122" s="64"/>
    </row>
    <row r="125" spans="2:3" ht="15.75">
      <c r="B125" s="3"/>
      <c r="C125" s="3"/>
    </row>
    <row r="139" ht="15.75" hidden="1"/>
    <row r="140" ht="15.75" hidden="1"/>
    <row r="142" spans="3:4" ht="15.75">
      <c r="C142" s="17">
        <f>IF(C107&gt;C109,"See Tab A","")</f>
      </c>
      <c r="D142" s="17">
        <f>IF(D107&gt;D109,"See Tab C","")</f>
      </c>
    </row>
    <row r="143" spans="3:4" ht="15.75">
      <c r="C143" s="17">
        <f>IF(C108&lt;0,"See Tab B","")</f>
      </c>
      <c r="D143" s="17">
        <f>IF(D108&lt;0,"See Tab D","")</f>
      </c>
    </row>
  </sheetData>
  <sheetProtection/>
  <mergeCells count="10">
    <mergeCell ref="C116:D116"/>
    <mergeCell ref="C117:D117"/>
    <mergeCell ref="C118:D118"/>
    <mergeCell ref="G90:J90"/>
    <mergeCell ref="C110:D110"/>
    <mergeCell ref="C111:D111"/>
    <mergeCell ref="C114:D114"/>
    <mergeCell ref="C115:D115"/>
    <mergeCell ref="G97:J97"/>
    <mergeCell ref="G107:J107"/>
  </mergeCells>
  <conditionalFormatting sqref="E110">
    <cfRule type="cellIs" priority="2" dxfId="260" operator="greaterThan" stopIfTrue="1">
      <formula>$E$107/0.95-$E$107</formula>
    </cfRule>
  </conditionalFormatting>
  <conditionalFormatting sqref="E105">
    <cfRule type="cellIs" priority="3" dxfId="260" operator="greaterThan" stopIfTrue="1">
      <formula>$E$107*0.1</formula>
    </cfRule>
  </conditionalFormatting>
  <conditionalFormatting sqref="D107">
    <cfRule type="cellIs" priority="4" dxfId="0" operator="greaterThan" stopIfTrue="1">
      <formula>$D$109</formula>
    </cfRule>
  </conditionalFormatting>
  <conditionalFormatting sqref="C107">
    <cfRule type="cellIs" priority="5" dxfId="0" operator="greaterThan" stopIfTrue="1">
      <formula>$C$109</formula>
    </cfRule>
  </conditionalFormatting>
  <conditionalFormatting sqref="C108">
    <cfRule type="cellIs" priority="6" dxfId="0" operator="lessThan" stopIfTrue="1">
      <formula>0</formula>
    </cfRule>
  </conditionalFormatting>
  <conditionalFormatting sqref="C105">
    <cfRule type="cellIs" priority="7" dxfId="0" operator="greaterThan" stopIfTrue="1">
      <formula>$C$107*0.1</formula>
    </cfRule>
  </conditionalFormatting>
  <conditionalFormatting sqref="D105">
    <cfRule type="cellIs" priority="8" dxfId="0" operator="greaterThan" stopIfTrue="1">
      <formula>$D$107*0.1</formula>
    </cfRule>
  </conditionalFormatting>
  <conditionalFormatting sqref="D57">
    <cfRule type="cellIs" priority="9" dxfId="0" operator="greaterThan" stopIfTrue="1">
      <formula>$D$59*0.1</formula>
    </cfRule>
  </conditionalFormatting>
  <conditionalFormatting sqref="C57">
    <cfRule type="cellIs" priority="10" dxfId="0" operator="greaterThan" stopIfTrue="1">
      <formula>$C$59*0.1</formula>
    </cfRule>
  </conditionalFormatting>
  <conditionalFormatting sqref="E57">
    <cfRule type="cellIs" priority="11" dxfId="260" operator="greaterThan" stopIfTrue="1">
      <formula>$E$59*0.1+E114</formula>
    </cfRule>
  </conditionalFormatting>
  <conditionalFormatting sqref="D108">
    <cfRule type="cellIs" priority="1" dxfId="1"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2"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P87" sqref="P87"/>
    </sheetView>
  </sheetViews>
  <sheetFormatPr defaultColWidth="8.796875" defaultRowHeight="15"/>
  <cols>
    <col min="1" max="1" width="28.296875" style="3" customWidth="1"/>
    <col min="2" max="3" width="15.796875" style="3" customWidth="1"/>
    <col min="4" max="4" width="16.09765625" style="3" customWidth="1"/>
    <col min="5" max="16384" width="8.8984375" style="3" customWidth="1"/>
  </cols>
  <sheetData>
    <row r="1" spans="1:4" ht="15.75">
      <c r="A1" s="124">
        <f>inputPrYr!D3</f>
        <v>0</v>
      </c>
      <c r="B1" s="16"/>
      <c r="C1" s="122"/>
      <c r="D1" s="16">
        <f>inputPrYr!C6</f>
        <v>0</v>
      </c>
    </row>
    <row r="2" spans="1:4" ht="15.75">
      <c r="A2" s="16"/>
      <c r="B2" s="16"/>
      <c r="C2" s="16"/>
      <c r="D2" s="122"/>
    </row>
    <row r="3" spans="1:4" ht="15.75">
      <c r="A3" s="27"/>
      <c r="B3" s="210"/>
      <c r="C3" s="210"/>
      <c r="D3" s="210"/>
    </row>
    <row r="4" spans="1:4" ht="15.75">
      <c r="A4" s="122" t="s">
        <v>23</v>
      </c>
      <c r="B4" s="211" t="s">
        <v>758</v>
      </c>
      <c r="C4" s="99" t="s">
        <v>761</v>
      </c>
      <c r="D4" s="99" t="s">
        <v>762</v>
      </c>
    </row>
    <row r="5" spans="1:4" ht="15.75">
      <c r="A5" s="482" t="s">
        <v>272</v>
      </c>
      <c r="B5" s="314" t="str">
        <f>CONCATENATE("Actual for ",D1-2,"")</f>
        <v>Actual for -2</v>
      </c>
      <c r="C5" s="314" t="str">
        <f>CONCATENATE("Estimate for ",D1-1,"")</f>
        <v>Estimate for -1</v>
      </c>
      <c r="D5" s="187" t="str">
        <f>CONCATENATE("Year for ",D1,"")</f>
        <v>Year for 0</v>
      </c>
    </row>
    <row r="6" spans="1:4" ht="15.75">
      <c r="A6" s="156" t="s">
        <v>35</v>
      </c>
      <c r="B6" s="51"/>
      <c r="C6" s="51"/>
      <c r="D6" s="51"/>
    </row>
    <row r="7" spans="1:4" ht="15.75">
      <c r="A7" s="212"/>
      <c r="B7" s="51"/>
      <c r="C7" s="51"/>
      <c r="D7" s="51"/>
    </row>
    <row r="8" spans="1:4" ht="15.75">
      <c r="A8" s="213" t="s">
        <v>43</v>
      </c>
      <c r="B8" s="195"/>
      <c r="C8" s="195"/>
      <c r="D8" s="195"/>
    </row>
    <row r="9" spans="1:4" ht="15.75">
      <c r="A9" s="213" t="s">
        <v>36</v>
      </c>
      <c r="B9" s="195"/>
      <c r="C9" s="195"/>
      <c r="D9" s="195"/>
    </row>
    <row r="10" spans="1:4" ht="15.75">
      <c r="A10" s="213" t="s">
        <v>37</v>
      </c>
      <c r="B10" s="195"/>
      <c r="C10" s="195"/>
      <c r="D10" s="195"/>
    </row>
    <row r="11" spans="1:4" ht="15.75">
      <c r="A11" s="213" t="s">
        <v>38</v>
      </c>
      <c r="B11" s="195"/>
      <c r="C11" s="195"/>
      <c r="D11" s="195"/>
    </row>
    <row r="12" spans="1:4" ht="15.75">
      <c r="A12" s="213"/>
      <c r="B12" s="195"/>
      <c r="C12" s="195"/>
      <c r="D12" s="195"/>
    </row>
    <row r="13" spans="1:4" ht="15.75">
      <c r="A13" s="39"/>
      <c r="B13" s="195"/>
      <c r="C13" s="195"/>
      <c r="D13" s="195"/>
    </row>
    <row r="14" spans="1:4" ht="15.75">
      <c r="A14" s="39"/>
      <c r="B14" s="195"/>
      <c r="C14" s="195"/>
      <c r="D14" s="195"/>
    </row>
    <row r="15" spans="1:4" ht="15.75">
      <c r="A15" s="156" t="s">
        <v>301</v>
      </c>
      <c r="B15" s="206">
        <f>SUM(B8:B14)</f>
        <v>0</v>
      </c>
      <c r="C15" s="206">
        <f>SUM(C8:C14)</f>
        <v>0</v>
      </c>
      <c r="D15" s="206">
        <f>SUM(D8:D14)</f>
        <v>0</v>
      </c>
    </row>
    <row r="16" spans="1:4" ht="15.75">
      <c r="A16" s="214"/>
      <c r="B16" s="124"/>
      <c r="C16" s="124"/>
      <c r="D16" s="124"/>
    </row>
    <row r="17" spans="1:4" ht="15.75">
      <c r="A17" s="213" t="s">
        <v>43</v>
      </c>
      <c r="B17" s="195"/>
      <c r="C17" s="195"/>
      <c r="D17" s="195"/>
    </row>
    <row r="18" spans="1:4" ht="15.75">
      <c r="A18" s="213" t="s">
        <v>36</v>
      </c>
      <c r="B18" s="195"/>
      <c r="C18" s="195"/>
      <c r="D18" s="195"/>
    </row>
    <row r="19" spans="1:4" ht="15.75">
      <c r="A19" s="213" t="s">
        <v>37</v>
      </c>
      <c r="B19" s="195"/>
      <c r="C19" s="195"/>
      <c r="D19" s="195"/>
    </row>
    <row r="20" spans="1:4" ht="15.75">
      <c r="A20" s="213" t="s">
        <v>38</v>
      </c>
      <c r="B20" s="195"/>
      <c r="C20" s="195"/>
      <c r="D20" s="195"/>
    </row>
    <row r="21" spans="1:4" ht="15.75">
      <c r="A21" s="156" t="s">
        <v>301</v>
      </c>
      <c r="B21" s="206">
        <f>SUM(B17:B20)</f>
        <v>0</v>
      </c>
      <c r="C21" s="206">
        <f>SUM(C17:C20)</f>
        <v>0</v>
      </c>
      <c r="D21" s="206">
        <f>SUM(D17:D20)</f>
        <v>0</v>
      </c>
    </row>
    <row r="22" spans="1:4" ht="15.75">
      <c r="A22" s="214"/>
      <c r="B22" s="124"/>
      <c r="C22" s="124"/>
      <c r="D22" s="124"/>
    </row>
    <row r="23" spans="1:4" ht="15.75">
      <c r="A23" s="213" t="s">
        <v>43</v>
      </c>
      <c r="B23" s="195"/>
      <c r="C23" s="195"/>
      <c r="D23" s="195"/>
    </row>
    <row r="24" spans="1:4" ht="15.75">
      <c r="A24" s="213" t="s">
        <v>36</v>
      </c>
      <c r="B24" s="195"/>
      <c r="C24" s="195"/>
      <c r="D24" s="195"/>
    </row>
    <row r="25" spans="1:4" ht="15.75">
      <c r="A25" s="213" t="s">
        <v>37</v>
      </c>
      <c r="B25" s="195"/>
      <c r="C25" s="195"/>
      <c r="D25" s="195"/>
    </row>
    <row r="26" spans="1:4" ht="15.75">
      <c r="A26" s="213" t="s">
        <v>38</v>
      </c>
      <c r="B26" s="195"/>
      <c r="C26" s="195"/>
      <c r="D26" s="195"/>
    </row>
    <row r="27" spans="1:4" ht="15.75">
      <c r="A27" s="156" t="s">
        <v>301</v>
      </c>
      <c r="B27" s="206">
        <f>SUM(B23:B26)</f>
        <v>0</v>
      </c>
      <c r="C27" s="206">
        <f>SUM(C23:C26)</f>
        <v>0</v>
      </c>
      <c r="D27" s="206">
        <f>SUM(D23:D26)</f>
        <v>0</v>
      </c>
    </row>
    <row r="28" spans="1:4" ht="15.75">
      <c r="A28" s="214"/>
      <c r="B28" s="124"/>
      <c r="C28" s="124"/>
      <c r="D28" s="124"/>
    </row>
    <row r="29" spans="1:4" ht="15.75">
      <c r="A29" s="213" t="s">
        <v>43</v>
      </c>
      <c r="B29" s="195"/>
      <c r="C29" s="195"/>
      <c r="D29" s="195"/>
    </row>
    <row r="30" spans="1:4" ht="15.75">
      <c r="A30" s="213" t="s">
        <v>36</v>
      </c>
      <c r="B30" s="195"/>
      <c r="C30" s="195"/>
      <c r="D30" s="195"/>
    </row>
    <row r="31" spans="1:4" ht="15.75">
      <c r="A31" s="213" t="s">
        <v>37</v>
      </c>
      <c r="B31" s="195"/>
      <c r="C31" s="195"/>
      <c r="D31" s="195"/>
    </row>
    <row r="32" spans="1:4" ht="15.75">
      <c r="A32" s="213" t="s">
        <v>38</v>
      </c>
      <c r="B32" s="195"/>
      <c r="C32" s="195"/>
      <c r="D32" s="195"/>
    </row>
    <row r="33" spans="1:4" ht="15.75">
      <c r="A33" s="156" t="s">
        <v>301</v>
      </c>
      <c r="B33" s="206">
        <f>SUM(B29:B32)</f>
        <v>0</v>
      </c>
      <c r="C33" s="206">
        <f>SUM(C29:C32)</f>
        <v>0</v>
      </c>
      <c r="D33" s="206">
        <f>SUM(D29:D32)</f>
        <v>0</v>
      </c>
    </row>
    <row r="34" spans="1:4" ht="15.75">
      <c r="A34" s="214"/>
      <c r="B34" s="124"/>
      <c r="C34" s="124"/>
      <c r="D34" s="124"/>
    </row>
    <row r="35" spans="1:4" ht="15.75">
      <c r="A35" s="213" t="s">
        <v>43</v>
      </c>
      <c r="B35" s="195"/>
      <c r="C35" s="195"/>
      <c r="D35" s="195"/>
    </row>
    <row r="36" spans="1:4" ht="15.75">
      <c r="A36" s="213" t="s">
        <v>36</v>
      </c>
      <c r="B36" s="195"/>
      <c r="C36" s="195"/>
      <c r="D36" s="195"/>
    </row>
    <row r="37" spans="1:4" ht="15.75">
      <c r="A37" s="213" t="s">
        <v>37</v>
      </c>
      <c r="B37" s="195"/>
      <c r="C37" s="195"/>
      <c r="D37" s="195"/>
    </row>
    <row r="38" spans="1:4" ht="15.75">
      <c r="A38" s="213" t="s">
        <v>38</v>
      </c>
      <c r="B38" s="195"/>
      <c r="C38" s="195"/>
      <c r="D38" s="195"/>
    </row>
    <row r="39" spans="1:4" ht="15.75">
      <c r="A39" s="156" t="s">
        <v>301</v>
      </c>
      <c r="B39" s="206">
        <f>SUM(B35:B38)</f>
        <v>0</v>
      </c>
      <c r="C39" s="206">
        <f>SUM(C35:C38)</f>
        <v>0</v>
      </c>
      <c r="D39" s="206">
        <f>SUM(D35:D38)</f>
        <v>0</v>
      </c>
    </row>
    <row r="40" spans="1:4" ht="15.75">
      <c r="A40" s="214"/>
      <c r="B40" s="124"/>
      <c r="C40" s="124"/>
      <c r="D40" s="124"/>
    </row>
    <row r="41" spans="1:4" ht="15.75">
      <c r="A41" s="213" t="s">
        <v>43</v>
      </c>
      <c r="B41" s="195"/>
      <c r="C41" s="195"/>
      <c r="D41" s="195"/>
    </row>
    <row r="42" spans="1:4" ht="15.75">
      <c r="A42" s="213" t="s">
        <v>36</v>
      </c>
      <c r="B42" s="195"/>
      <c r="C42" s="195"/>
      <c r="D42" s="195"/>
    </row>
    <row r="43" spans="1:4" ht="15.75">
      <c r="A43" s="213" t="s">
        <v>37</v>
      </c>
      <c r="B43" s="195"/>
      <c r="C43" s="195"/>
      <c r="D43" s="195"/>
    </row>
    <row r="44" spans="1:4" ht="15.75">
      <c r="A44" s="213" t="s">
        <v>38</v>
      </c>
      <c r="B44" s="195"/>
      <c r="C44" s="195"/>
      <c r="D44" s="195"/>
    </row>
    <row r="45" spans="1:4" ht="15.75">
      <c r="A45" s="156" t="s">
        <v>301</v>
      </c>
      <c r="B45" s="206">
        <f>SUM(B41:B44)</f>
        <v>0</v>
      </c>
      <c r="C45" s="206">
        <f>SUM(C41:C44)</f>
        <v>0</v>
      </c>
      <c r="D45" s="206">
        <f>SUM(D41:D44)</f>
        <v>0</v>
      </c>
    </row>
    <row r="46" spans="1:4" ht="15.75">
      <c r="A46" s="214"/>
      <c r="B46" s="124"/>
      <c r="C46" s="124"/>
      <c r="D46" s="124"/>
    </row>
    <row r="47" spans="1:4" ht="15.75">
      <c r="A47" s="213" t="s">
        <v>43</v>
      </c>
      <c r="B47" s="195"/>
      <c r="C47" s="195"/>
      <c r="D47" s="195"/>
    </row>
    <row r="48" spans="1:4" ht="15.75">
      <c r="A48" s="213" t="s">
        <v>36</v>
      </c>
      <c r="B48" s="195"/>
      <c r="C48" s="195"/>
      <c r="D48" s="195"/>
    </row>
    <row r="49" spans="1:4" ht="15.75">
      <c r="A49" s="213" t="s">
        <v>37</v>
      </c>
      <c r="B49" s="195"/>
      <c r="C49" s="195"/>
      <c r="D49" s="195"/>
    </row>
    <row r="50" spans="1:4" ht="15.75">
      <c r="A50" s="213" t="s">
        <v>38</v>
      </c>
      <c r="B50" s="195"/>
      <c r="C50" s="195"/>
      <c r="D50" s="195"/>
    </row>
    <row r="51" spans="1:4" ht="15.75">
      <c r="A51" s="156" t="s">
        <v>301</v>
      </c>
      <c r="B51" s="206">
        <f>SUM(B47:B50)</f>
        <v>0</v>
      </c>
      <c r="C51" s="206">
        <f>SUM(C47:C50)</f>
        <v>0</v>
      </c>
      <c r="D51" s="206">
        <f>SUM(D47:D50)</f>
        <v>0</v>
      </c>
    </row>
    <row r="52" spans="1:4" ht="15.75">
      <c r="A52" s="214"/>
      <c r="B52" s="124"/>
      <c r="C52" s="124"/>
      <c r="D52" s="124"/>
    </row>
    <row r="53" spans="1:4" ht="15.75">
      <c r="A53" s="213" t="s">
        <v>43</v>
      </c>
      <c r="B53" s="195"/>
      <c r="C53" s="195"/>
      <c r="D53" s="195"/>
    </row>
    <row r="54" spans="1:4" ht="15.75">
      <c r="A54" s="213" t="s">
        <v>36</v>
      </c>
      <c r="B54" s="195"/>
      <c r="C54" s="195"/>
      <c r="D54" s="195"/>
    </row>
    <row r="55" spans="1:4" ht="15.75">
      <c r="A55" s="213" t="s">
        <v>37</v>
      </c>
      <c r="B55" s="195"/>
      <c r="C55" s="195"/>
      <c r="D55" s="195"/>
    </row>
    <row r="56" spans="1:4" ht="15.75">
      <c r="A56" s="213" t="s">
        <v>38</v>
      </c>
      <c r="B56" s="195"/>
      <c r="C56" s="195"/>
      <c r="D56" s="195"/>
    </row>
    <row r="57" spans="1:4" ht="15.75">
      <c r="A57" s="156" t="s">
        <v>301</v>
      </c>
      <c r="B57" s="206">
        <f>SUM(B53:B56)</f>
        <v>0</v>
      </c>
      <c r="C57" s="206">
        <f>SUM(C53:C56)</f>
        <v>0</v>
      </c>
      <c r="D57" s="206">
        <f>SUM(D53:D56)</f>
        <v>0</v>
      </c>
    </row>
    <row r="58" spans="1:4" ht="15.75">
      <c r="A58" s="16"/>
      <c r="B58" s="124"/>
      <c r="C58" s="124"/>
      <c r="D58" s="124"/>
    </row>
    <row r="59" spans="1:4" ht="16.5" thickBot="1">
      <c r="A59" s="156" t="s">
        <v>44</v>
      </c>
      <c r="B59" s="215">
        <f>B15+B21+B27+B33+B39+B45+B51+B57</f>
        <v>0</v>
      </c>
      <c r="C59" s="215">
        <f>C15+C21+C27+C33+C39+C45+C51+C57</f>
        <v>0</v>
      </c>
      <c r="D59" s="215">
        <f>D15+D21+D27+D33+D39+D45+D51+D57</f>
        <v>0</v>
      </c>
    </row>
    <row r="60" spans="1:4" ht="16.5" thickTop="1">
      <c r="A60" s="216" t="s">
        <v>271</v>
      </c>
      <c r="B60" s="124"/>
      <c r="C60" s="124"/>
      <c r="D60" s="124"/>
    </row>
    <row r="61" spans="1:4" ht="15.75">
      <c r="A61" s="93" t="s">
        <v>42</v>
      </c>
      <c r="B61" s="532" t="str">
        <f>CONCATENATE("",general!D62,"c")</f>
        <v>7c</v>
      </c>
      <c r="C61" s="124"/>
      <c r="D61" s="124"/>
    </row>
  </sheetData>
  <sheetProtection sheet="1"/>
  <printOptions/>
  <pageMargins left="0.5" right="0.5" top="1" bottom="0.5" header="0.5" footer="0.5"/>
  <pageSetup blackAndWhite="1" fitToHeight="1" fitToWidth="1" horizontalDpi="300" verticalDpi="300" orientation="portrait" scale="68"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dimension ref="B1:K98"/>
  <sheetViews>
    <sheetView workbookViewId="0" topLeftCell="A1">
      <selection activeCell="C105" sqref="C105"/>
    </sheetView>
  </sheetViews>
  <sheetFormatPr defaultColWidth="8.796875" defaultRowHeight="15"/>
  <cols>
    <col min="1" max="1" width="2.3984375" style="17" customWidth="1"/>
    <col min="2" max="2" width="31.09765625" style="17" customWidth="1"/>
    <col min="3" max="4" width="15.796875" style="17" customWidth="1"/>
    <col min="5" max="5" width="16.19921875" style="17" customWidth="1"/>
    <col min="6" max="6" width="8.0976562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24">
        <f>(inputPrYr!D3)</f>
        <v>0</v>
      </c>
      <c r="C1" s="124"/>
      <c r="D1" s="16"/>
      <c r="E1" s="150">
        <f>inputPrYr!$C$6</f>
        <v>0</v>
      </c>
    </row>
    <row r="2" spans="2:5" ht="15.75">
      <c r="B2" s="16"/>
      <c r="C2" s="16"/>
      <c r="D2" s="16"/>
      <c r="E2" s="120"/>
    </row>
    <row r="3" spans="2:5" ht="15.75">
      <c r="B3" s="27" t="s">
        <v>91</v>
      </c>
      <c r="C3" s="27"/>
      <c r="D3" s="323"/>
      <c r="E3" s="322"/>
    </row>
    <row r="4" spans="2:5" ht="15.75">
      <c r="B4" s="19" t="s">
        <v>23</v>
      </c>
      <c r="C4" s="592" t="s">
        <v>758</v>
      </c>
      <c r="D4" s="593" t="s">
        <v>761</v>
      </c>
      <c r="E4" s="99" t="s">
        <v>762</v>
      </c>
    </row>
    <row r="5" spans="2:5" ht="15.75">
      <c r="B5" s="330" t="str">
        <f>inputPrYr!B23</f>
        <v>Debt Service</v>
      </c>
      <c r="C5" s="314" t="str">
        <f>CONCATENATE("Actual for ",E1-2,"")</f>
        <v>Actual for -2</v>
      </c>
      <c r="D5" s="314" t="str">
        <f>CONCATENATE("Estimate for ",E1-1,"")</f>
        <v>Estimate for -1</v>
      </c>
      <c r="E5" s="187" t="str">
        <f>CONCATENATE("Year for ",E1,"")</f>
        <v>Year for 0</v>
      </c>
    </row>
    <row r="6" spans="2:5" ht="15.75">
      <c r="B6" s="105" t="s">
        <v>133</v>
      </c>
      <c r="C6" s="552"/>
      <c r="D6" s="313">
        <f>C36</f>
        <v>0</v>
      </c>
      <c r="E6" s="158">
        <f>D36</f>
        <v>0</v>
      </c>
    </row>
    <row r="7" spans="2:5" ht="15.75">
      <c r="B7" s="105" t="s">
        <v>135</v>
      </c>
      <c r="C7" s="313"/>
      <c r="D7" s="313"/>
      <c r="E7" s="158"/>
    </row>
    <row r="8" spans="2:5" ht="15.75">
      <c r="B8" s="105" t="s">
        <v>24</v>
      </c>
      <c r="C8" s="539"/>
      <c r="D8" s="313">
        <f>IF(inputPrYr!H21&gt;0,inputPrYr!G23,inputPrYr!E23)</f>
        <v>0</v>
      </c>
      <c r="E8" s="217" t="s">
        <v>13</v>
      </c>
    </row>
    <row r="9" spans="2:5" ht="15.75">
      <c r="B9" s="105" t="s">
        <v>25</v>
      </c>
      <c r="C9" s="539"/>
      <c r="D9" s="189"/>
      <c r="E9" s="36"/>
    </row>
    <row r="10" spans="2:5" ht="15.75">
      <c r="B10" s="105" t="s">
        <v>26</v>
      </c>
      <c r="C10" s="539"/>
      <c r="D10" s="189"/>
      <c r="E10" s="158" t="str">
        <f>mvalloc!D8</f>
        <v>  </v>
      </c>
    </row>
    <row r="11" spans="2:5" ht="15.75">
      <c r="B11" s="105" t="s">
        <v>27</v>
      </c>
      <c r="C11" s="539"/>
      <c r="D11" s="189"/>
      <c r="E11" s="158" t="str">
        <f>mvalloc!E8</f>
        <v> </v>
      </c>
    </row>
    <row r="12" spans="2:5" ht="15.75">
      <c r="B12" s="205" t="s">
        <v>122</v>
      </c>
      <c r="C12" s="539"/>
      <c r="D12" s="189"/>
      <c r="E12" s="158" t="str">
        <f>mvalloc!F8</f>
        <v> </v>
      </c>
    </row>
    <row r="13" spans="2:5" ht="15.75">
      <c r="B13" s="757" t="s">
        <v>978</v>
      </c>
      <c r="C13" s="539"/>
      <c r="D13" s="189"/>
      <c r="E13" s="158" t="str">
        <f>mvalloc!G8</f>
        <v> </v>
      </c>
    </row>
    <row r="14" spans="2:5" ht="15.75">
      <c r="B14" s="757" t="s">
        <v>979</v>
      </c>
      <c r="C14" s="539"/>
      <c r="D14" s="189"/>
      <c r="E14" s="158" t="str">
        <f>mvalloc!H8</f>
        <v> </v>
      </c>
    </row>
    <row r="15" spans="2:5" ht="15.75">
      <c r="B15" s="36"/>
      <c r="C15" s="539"/>
      <c r="D15" s="189"/>
      <c r="E15" s="36"/>
    </row>
    <row r="16" spans="2:5" ht="15.75">
      <c r="B16" s="189"/>
      <c r="C16" s="539"/>
      <c r="D16" s="189"/>
      <c r="E16" s="36"/>
    </row>
    <row r="17" spans="2:5" ht="15.75">
      <c r="B17" s="196"/>
      <c r="C17" s="539"/>
      <c r="D17" s="189"/>
      <c r="E17" s="36"/>
    </row>
    <row r="18" spans="2:5" ht="15.75">
      <c r="B18" s="196"/>
      <c r="C18" s="539"/>
      <c r="D18" s="189"/>
      <c r="E18" s="36"/>
    </row>
    <row r="19" spans="2:10" ht="15.75">
      <c r="B19" s="230" t="s">
        <v>31</v>
      </c>
      <c r="C19" s="539"/>
      <c r="D19" s="189"/>
      <c r="E19" s="36"/>
      <c r="G19" s="1040" t="str">
        <f>CONCATENATE("Desired Carryover Into ",E1+1,"")</f>
        <v>Desired Carryover Into 1</v>
      </c>
      <c r="H19" s="1030"/>
      <c r="I19" s="1030"/>
      <c r="J19" s="1031"/>
    </row>
    <row r="20" spans="2:10" ht="15.75">
      <c r="B20" s="325" t="s">
        <v>237</v>
      </c>
      <c r="C20" s="539"/>
      <c r="D20" s="189"/>
      <c r="E20" s="478">
        <f>nhood!E7*-1</f>
        <v>0</v>
      </c>
      <c r="G20" s="540"/>
      <c r="H20" s="535"/>
      <c r="I20" s="537"/>
      <c r="J20" s="541"/>
    </row>
    <row r="21" spans="2:10" ht="15.75">
      <c r="B21" s="105" t="s">
        <v>236</v>
      </c>
      <c r="C21" s="539"/>
      <c r="D21" s="189"/>
      <c r="E21" s="36"/>
      <c r="G21" s="538" t="s">
        <v>592</v>
      </c>
      <c r="H21" s="537"/>
      <c r="I21" s="537"/>
      <c r="J21" s="536">
        <v>0</v>
      </c>
    </row>
    <row r="22" spans="2:10" ht="15.75">
      <c r="B22" s="105" t="s">
        <v>746</v>
      </c>
      <c r="C22" s="315">
        <f>IF(C23*0.1&lt;C21,"Exceed 10% Rule","")</f>
      </c>
      <c r="D22" s="332">
        <f>IF(D23*0.1&lt;D21,"Exceed 10% Rule","")</f>
      </c>
      <c r="E22" s="218">
        <f>IF(E24*0.01+E42&lt;E21,"Exceed 10% Rule","")</f>
      </c>
      <c r="G22" s="540" t="s">
        <v>593</v>
      </c>
      <c r="H22" s="535"/>
      <c r="I22" s="535"/>
      <c r="J22" s="553">
        <f>IF(J21=0,"",ROUND((J21+E42-G34)/inputOth!E7*1000,3)-G39)</f>
      </c>
    </row>
    <row r="23" spans="2:10" ht="15.75">
      <c r="B23" s="198" t="s">
        <v>32</v>
      </c>
      <c r="C23" s="316">
        <f>SUM(C8:C21)</f>
        <v>0</v>
      </c>
      <c r="D23" s="316">
        <f>SUM(D8:D21)</f>
        <v>0</v>
      </c>
      <c r="E23" s="222">
        <f>SUM(E8:E21)</f>
        <v>0</v>
      </c>
      <c r="G23" s="545" t="str">
        <f>CONCATENATE("",E1," Tot Exp/Non-Appr Must Be:")</f>
        <v>0 Tot Exp/Non-Appr Must Be:</v>
      </c>
      <c r="H23" s="543"/>
      <c r="I23" s="544"/>
      <c r="J23" s="542">
        <f>IF(J21&gt;0,IF(E39&lt;E24,IF(J21=G34,E39,((J21-G34)*(1-D41))+E24),E39+(J21-G34)),0)</f>
        <v>0</v>
      </c>
    </row>
    <row r="24" spans="2:10" ht="15.75">
      <c r="B24" s="198" t="s">
        <v>33</v>
      </c>
      <c r="C24" s="316">
        <f>C6+C23</f>
        <v>0</v>
      </c>
      <c r="D24" s="316">
        <f>D6+D23</f>
        <v>0</v>
      </c>
      <c r="E24" s="222">
        <f>E6+E23</f>
        <v>0</v>
      </c>
      <c r="G24" s="548" t="s">
        <v>763</v>
      </c>
      <c r="H24" s="549"/>
      <c r="I24" s="549"/>
      <c r="J24" s="546">
        <f>IF(J21&gt;0,J23-E39,0)</f>
        <v>0</v>
      </c>
    </row>
    <row r="25" spans="2:5" ht="15.75">
      <c r="B25" s="105" t="s">
        <v>35</v>
      </c>
      <c r="C25" s="105"/>
      <c r="D25" s="313"/>
      <c r="E25" s="158"/>
    </row>
    <row r="26" spans="2:10" ht="15.75">
      <c r="B26" s="196"/>
      <c r="C26" s="327"/>
      <c r="D26" s="189"/>
      <c r="E26" s="36"/>
      <c r="G26" s="1035" t="str">
        <f>CONCATENATE("Projected Carryover Into ",E1+1,"")</f>
        <v>Projected Carryover Into 1</v>
      </c>
      <c r="H26" s="1036"/>
      <c r="I26" s="1036"/>
      <c r="J26" s="1031"/>
    </row>
    <row r="27" spans="2:10" ht="15.75">
      <c r="B27" s="196"/>
      <c r="C27" s="327"/>
      <c r="D27" s="189"/>
      <c r="E27" s="36"/>
      <c r="G27" s="437"/>
      <c r="H27" s="436"/>
      <c r="I27" s="436"/>
      <c r="J27" s="533"/>
    </row>
    <row r="28" spans="2:10" ht="15.75">
      <c r="B28" s="196"/>
      <c r="C28" s="327"/>
      <c r="D28" s="189"/>
      <c r="E28" s="36"/>
      <c r="G28" s="441">
        <f>D36</f>
        <v>0</v>
      </c>
      <c r="H28" s="442" t="str">
        <f>CONCATENATE("",E1-1," Ending Cash Balance (est.)")</f>
        <v>-1 Ending Cash Balance (est.)</v>
      </c>
      <c r="I28" s="438"/>
      <c r="J28" s="533"/>
    </row>
    <row r="29" spans="2:10" ht="15.75">
      <c r="B29" s="196"/>
      <c r="C29" s="327"/>
      <c r="D29" s="189"/>
      <c r="E29" s="36"/>
      <c r="G29" s="441">
        <f>E23</f>
        <v>0</v>
      </c>
      <c r="H29" s="443" t="str">
        <f>CONCATENATE("",E1," Non-AV Receipts (est.)")</f>
        <v>0 Non-AV Receipts (est.)</v>
      </c>
      <c r="I29" s="436"/>
      <c r="J29" s="533"/>
    </row>
    <row r="30" spans="2:11" ht="15.75">
      <c r="B30" s="196"/>
      <c r="C30" s="327"/>
      <c r="D30" s="189"/>
      <c r="E30" s="36"/>
      <c r="G30" s="444">
        <f>IF(E41&gt;0,E40,E42)</f>
        <v>0</v>
      </c>
      <c r="H30" s="443" t="str">
        <f>CONCATENATE("",E1," Ad Valorem Tax (est.)")</f>
        <v>0 Ad Valorem Tax (est.)</v>
      </c>
      <c r="I30" s="436"/>
      <c r="J30" s="533"/>
      <c r="K30" s="551">
        <f>IF(G30=E42,"","Note: Does not include Delinquent Taxes")</f>
      </c>
    </row>
    <row r="31" spans="2:10" ht="15.75">
      <c r="B31" s="196"/>
      <c r="C31" s="327"/>
      <c r="D31" s="189"/>
      <c r="E31" s="36"/>
      <c r="G31" s="441">
        <f>SUM(G28:G30)</f>
        <v>0</v>
      </c>
      <c r="H31" s="443" t="str">
        <f>CONCATENATE("Total ",E1," Resources Available")</f>
        <v>Total 0 Resources Available</v>
      </c>
      <c r="I31" s="438"/>
      <c r="J31" s="533"/>
    </row>
    <row r="32" spans="2:10" ht="15.75">
      <c r="B32" s="325" t="str">
        <f>CONCATENATE("Cash Basis Reserve (",E1," column)")</f>
        <v>Cash Basis Reserve (0 column)</v>
      </c>
      <c r="C32" s="327"/>
      <c r="D32" s="189"/>
      <c r="E32" s="36"/>
      <c r="G32" s="445"/>
      <c r="H32" s="443"/>
      <c r="I32" s="436"/>
      <c r="J32" s="533"/>
    </row>
    <row r="33" spans="2:10" ht="15.75">
      <c r="B33" s="325" t="s">
        <v>236</v>
      </c>
      <c r="C33" s="327"/>
      <c r="D33" s="189"/>
      <c r="E33" s="36"/>
      <c r="G33" s="444">
        <f>C35</f>
        <v>0</v>
      </c>
      <c r="H33" s="443" t="str">
        <f>CONCATENATE("Less ",E1-2," Expenditures")</f>
        <v>Less -2 Expenditures</v>
      </c>
      <c r="I33" s="436"/>
      <c r="J33" s="533"/>
    </row>
    <row r="34" spans="2:10" ht="15.75">
      <c r="B34" s="325" t="s">
        <v>588</v>
      </c>
      <c r="C34" s="326">
        <f>IF(C35*0.1&lt;C33,"Exceed 10% Rule","")</f>
      </c>
      <c r="D34" s="333">
        <f>IF(D35*0.1&lt;D33,"Exceed 10% Rule","")</f>
      </c>
      <c r="E34" s="324">
        <f>IF(E35*0.1&lt;E33,"Exceed 10% Rule","")</f>
      </c>
      <c r="G34" s="377">
        <f>SUM(G31-G33)</f>
        <v>0</v>
      </c>
      <c r="H34" s="378" t="str">
        <f>CONCATENATE("Projected ",E1+1," carryover (est.)")</f>
        <v>Projected 1 carryover (est.)</v>
      </c>
      <c r="I34" s="439"/>
      <c r="J34" s="531"/>
    </row>
    <row r="35" spans="2:5" ht="15.75">
      <c r="B35" s="198" t="s">
        <v>39</v>
      </c>
      <c r="C35" s="328">
        <f>SUM(C26:C33)</f>
        <v>0</v>
      </c>
      <c r="D35" s="328">
        <f>SUM(D26:D33)</f>
        <v>0</v>
      </c>
      <c r="E35" s="199">
        <f>SUM(E26:E33)</f>
        <v>0</v>
      </c>
    </row>
    <row r="36" spans="2:10" ht="15.75">
      <c r="B36" s="105" t="s">
        <v>134</v>
      </c>
      <c r="C36" s="329">
        <f>C24-C35</f>
        <v>0</v>
      </c>
      <c r="D36" s="329">
        <f>D24-D35</f>
        <v>0</v>
      </c>
      <c r="E36" s="217" t="s">
        <v>13</v>
      </c>
      <c r="G36" s="1032" t="s">
        <v>819</v>
      </c>
      <c r="H36" s="1033"/>
      <c r="I36" s="1033"/>
      <c r="J36" s="1034"/>
    </row>
    <row r="37" spans="2:10" ht="15.75">
      <c r="B37" s="122" t="str">
        <f>CONCATENATE("",E1-2,"/",E1-1,"/",E1," Budget Authority Amount:")</f>
        <v>-2/-1/0 Budget Authority Amount:</v>
      </c>
      <c r="C37" s="478">
        <f>inputOth!B65</f>
        <v>0</v>
      </c>
      <c r="D37" s="685">
        <f>inputPrYr!D23</f>
        <v>0</v>
      </c>
      <c r="E37" s="158">
        <f>E35</f>
        <v>0</v>
      </c>
      <c r="F37" s="207"/>
      <c r="G37" s="662"/>
      <c r="H37" s="624"/>
      <c r="I37" s="651"/>
      <c r="J37" s="652"/>
    </row>
    <row r="38" spans="2:10" ht="15.75">
      <c r="B38" s="93"/>
      <c r="C38" s="1025" t="s">
        <v>584</v>
      </c>
      <c r="D38" s="1026"/>
      <c r="E38" s="36"/>
      <c r="F38" s="350">
        <f>IF(E35/0.95-E35&lt;E38,"Exceeds 5%","")</f>
      </c>
      <c r="G38" s="664" t="str">
        <f>summ!H17</f>
        <v> </v>
      </c>
      <c r="H38" s="624" t="str">
        <f>CONCATENATE("",E1," Fund Mill Rate")</f>
        <v>0 Fund Mill Rate</v>
      </c>
      <c r="I38" s="651"/>
      <c r="J38" s="652"/>
    </row>
    <row r="39" spans="2:10" ht="15.75">
      <c r="B39" s="334" t="str">
        <f>CONCATENATE(C94,"     ",D94)</f>
        <v>     </v>
      </c>
      <c r="C39" s="1027" t="s">
        <v>585</v>
      </c>
      <c r="D39" s="1028"/>
      <c r="E39" s="158">
        <f>E35+E38</f>
        <v>0</v>
      </c>
      <c r="G39" s="663" t="str">
        <f>summ!E17</f>
        <v>  </v>
      </c>
      <c r="H39" s="624" t="str">
        <f>CONCATENATE("",E1-1," Fund Mill Rate")</f>
        <v>-1 Fund Mill Rate</v>
      </c>
      <c r="I39" s="651"/>
      <c r="J39" s="652"/>
    </row>
    <row r="40" spans="2:10" ht="15.75">
      <c r="B40" s="334" t="str">
        <f>CONCATENATE(C95,"     ",D95)</f>
        <v>     </v>
      </c>
      <c r="C40" s="208"/>
      <c r="D40" s="120" t="s">
        <v>40</v>
      </c>
      <c r="E40" s="43">
        <f>IF(E39-E24&gt;0,E39-E24,0)</f>
        <v>0</v>
      </c>
      <c r="G40" s="665">
        <f>summ!H43</f>
        <v>0</v>
      </c>
      <c r="H40" s="624" t="str">
        <f>CONCATENATE("Total ",E1," Mill Rate")</f>
        <v>Total 0 Mill Rate</v>
      </c>
      <c r="I40" s="651"/>
      <c r="J40" s="652"/>
    </row>
    <row r="41" spans="2:10" ht="15.75">
      <c r="B41" s="120"/>
      <c r="C41" s="320" t="s">
        <v>586</v>
      </c>
      <c r="D41" s="550">
        <f>inputOth!E50</f>
        <v>0</v>
      </c>
      <c r="E41" s="158">
        <f>ROUND(IF(D41&gt;0,(E40*D41),0),0)</f>
        <v>0</v>
      </c>
      <c r="G41" s="663">
        <f>summ!E43</f>
        <v>0</v>
      </c>
      <c r="H41" s="647" t="str">
        <f>CONCATENATE("Total ",E1-1," Mill Rate")</f>
        <v>Total -1 Mill Rate</v>
      </c>
      <c r="I41" s="648"/>
      <c r="J41" s="649"/>
    </row>
    <row r="42" spans="2:5" ht="16.5" thickBot="1">
      <c r="B42" s="16"/>
      <c r="C42" s="1043" t="str">
        <f>CONCATENATE("Amount of  ",E1-1," Ad Valorem Tax")</f>
        <v>Amount of  -1 Ad Valorem Tax</v>
      </c>
      <c r="D42" s="1044"/>
      <c r="E42" s="223">
        <f>E40+E41</f>
        <v>0</v>
      </c>
    </row>
    <row r="43" spans="2:10" ht="16.5" thickTop="1">
      <c r="B43" s="16"/>
      <c r="C43" s="1043"/>
      <c r="D43" s="1043"/>
      <c r="E43" s="321"/>
      <c r="G43" s="776"/>
      <c r="H43" s="767"/>
      <c r="I43" s="766"/>
      <c r="J43" s="792"/>
    </row>
    <row r="44" spans="2:10" ht="15.75">
      <c r="B44" s="16"/>
      <c r="C44" s="321"/>
      <c r="D44" s="321"/>
      <c r="E44" s="321"/>
      <c r="G44" s="765" t="str">
        <f>CONCATENATE("Computed ",E1," tax levy limit amount")</f>
        <v>Computed 0 tax levy limit amount</v>
      </c>
      <c r="H44" s="764"/>
      <c r="I44" s="764"/>
      <c r="J44" s="772">
        <f>Comp1!J47</f>
        <v>0</v>
      </c>
    </row>
    <row r="45" spans="2:10" ht="15.75">
      <c r="B45" s="19"/>
      <c r="C45" s="19"/>
      <c r="D45" s="323"/>
      <c r="E45" s="323"/>
      <c r="G45" s="763" t="str">
        <f>CONCATENATE("Total ",E1," tax levy amount")</f>
        <v>Total 0 tax levy amount</v>
      </c>
      <c r="H45" s="762"/>
      <c r="I45" s="762"/>
      <c r="J45" s="770">
        <f>summ!G43</f>
        <v>0</v>
      </c>
    </row>
    <row r="46" spans="2:5" ht="15.75">
      <c r="B46" s="19" t="s">
        <v>23</v>
      </c>
      <c r="C46" s="592" t="str">
        <f aca="true" t="shared" si="0" ref="C46:E47">C4</f>
        <v>Prior Year </v>
      </c>
      <c r="D46" s="593" t="str">
        <f t="shared" si="0"/>
        <v>Current Year </v>
      </c>
      <c r="E46" s="99" t="str">
        <f t="shared" si="0"/>
        <v>Proposed Budget </v>
      </c>
    </row>
    <row r="47" spans="2:5" ht="15.75">
      <c r="B47" s="331" t="str">
        <f>inputPrYr!B24</f>
        <v>Library</v>
      </c>
      <c r="C47" s="314" t="str">
        <f t="shared" si="0"/>
        <v>Actual for -2</v>
      </c>
      <c r="D47" s="314" t="str">
        <f t="shared" si="0"/>
        <v>Estimate for -1</v>
      </c>
      <c r="E47" s="143" t="str">
        <f t="shared" si="0"/>
        <v>Year for 0</v>
      </c>
    </row>
    <row r="48" spans="2:5" ht="15.75">
      <c r="B48" s="105" t="s">
        <v>133</v>
      </c>
      <c r="C48" s="327"/>
      <c r="D48" s="313">
        <f>C75</f>
        <v>0</v>
      </c>
      <c r="E48" s="158">
        <f>D75</f>
        <v>0</v>
      </c>
    </row>
    <row r="49" spans="2:5" ht="15.75">
      <c r="B49" s="116" t="s">
        <v>135</v>
      </c>
      <c r="C49" s="105"/>
      <c r="D49" s="313"/>
      <c r="E49" s="158"/>
    </row>
    <row r="50" spans="2:5" ht="15.75">
      <c r="B50" s="105" t="s">
        <v>24</v>
      </c>
      <c r="C50" s="327"/>
      <c r="D50" s="313">
        <f>IF(inputPrYr!H21&gt;0,inputPrYr!G24,inputPrYr!E24)</f>
        <v>0</v>
      </c>
      <c r="E50" s="217" t="s">
        <v>13</v>
      </c>
    </row>
    <row r="51" spans="2:5" ht="15.75">
      <c r="B51" s="105" t="s">
        <v>25</v>
      </c>
      <c r="C51" s="327"/>
      <c r="D51" s="189"/>
      <c r="E51" s="36"/>
    </row>
    <row r="52" spans="2:5" ht="15.75">
      <c r="B52" s="105" t="s">
        <v>26</v>
      </c>
      <c r="C52" s="327"/>
      <c r="D52" s="189"/>
      <c r="E52" s="158" t="str">
        <f>mvalloc!D9</f>
        <v>  </v>
      </c>
    </row>
    <row r="53" spans="2:5" ht="15.75">
      <c r="B53" s="105" t="s">
        <v>27</v>
      </c>
      <c r="C53" s="327"/>
      <c r="D53" s="189"/>
      <c r="E53" s="158" t="str">
        <f>mvalloc!E9</f>
        <v> </v>
      </c>
    </row>
    <row r="54" spans="2:5" ht="15.75">
      <c r="B54" s="205" t="s">
        <v>122</v>
      </c>
      <c r="C54" s="327"/>
      <c r="D54" s="189"/>
      <c r="E54" s="158" t="str">
        <f>mvalloc!F9</f>
        <v> </v>
      </c>
    </row>
    <row r="55" spans="2:5" ht="15.75">
      <c r="B55" s="757" t="s">
        <v>978</v>
      </c>
      <c r="C55" s="327"/>
      <c r="D55" s="189"/>
      <c r="E55" s="158" t="str">
        <f>mvalloc!G9</f>
        <v> </v>
      </c>
    </row>
    <row r="56" spans="2:5" ht="15.75">
      <c r="B56" s="757" t="s">
        <v>979</v>
      </c>
      <c r="C56" s="327"/>
      <c r="D56" s="189"/>
      <c r="E56" s="158" t="str">
        <f>mvalloc!H9</f>
        <v> </v>
      </c>
    </row>
    <row r="57" spans="2:5" ht="15.75">
      <c r="B57" s="36"/>
      <c r="C57" s="327"/>
      <c r="D57" s="189"/>
      <c r="E57" s="36"/>
    </row>
    <row r="58" spans="2:5" ht="15.75">
      <c r="B58" s="230" t="s">
        <v>31</v>
      </c>
      <c r="C58" s="327"/>
      <c r="D58" s="189"/>
      <c r="E58" s="36"/>
    </row>
    <row r="59" spans="2:5" ht="15.75">
      <c r="B59" s="205" t="s">
        <v>237</v>
      </c>
      <c r="C59" s="327"/>
      <c r="D59" s="189"/>
      <c r="E59" s="478">
        <f>nhood!E8*-1</f>
        <v>0</v>
      </c>
    </row>
    <row r="60" spans="2:5" ht="15.75">
      <c r="B60" s="105" t="s">
        <v>236</v>
      </c>
      <c r="C60" s="327"/>
      <c r="D60" s="189"/>
      <c r="E60" s="36"/>
    </row>
    <row r="61" spans="2:10" ht="15.75">
      <c r="B61" s="105" t="s">
        <v>746</v>
      </c>
      <c r="C61" s="315">
        <f>IF(C62*0.1&lt;C60,"Exceed 10% Rule","")</f>
      </c>
      <c r="D61" s="332">
        <f>IF(D62*0.1&lt;D60,"Exceed 10% Rule","")</f>
      </c>
      <c r="E61" s="218">
        <f>IF(E63*0.01+E81&lt;E60,"Exceed 10% Rule","")</f>
      </c>
      <c r="G61" s="1037" t="str">
        <f>CONCATENATE("Desired Carryover Into ",E1+1,"")</f>
        <v>Desired Carryover Into 1</v>
      </c>
      <c r="H61" s="1038"/>
      <c r="I61" s="1038"/>
      <c r="J61" s="1039"/>
    </row>
    <row r="62" spans="2:10" ht="15.75">
      <c r="B62" s="198" t="s">
        <v>32</v>
      </c>
      <c r="C62" s="328">
        <f>SUM(C50:C60)</f>
        <v>0</v>
      </c>
      <c r="D62" s="328">
        <f>SUM(D50:D60)</f>
        <v>0</v>
      </c>
      <c r="E62" s="199">
        <f>SUM(E50:E60)</f>
        <v>0</v>
      </c>
      <c r="G62" s="804"/>
      <c r="H62" s="796"/>
      <c r="I62" s="803"/>
      <c r="J62" s="805"/>
    </row>
    <row r="63" spans="2:10" ht="15.75">
      <c r="B63" s="198" t="s">
        <v>33</v>
      </c>
      <c r="C63" s="328">
        <f>C48+C62</f>
        <v>0</v>
      </c>
      <c r="D63" s="328">
        <f>D48+D62</f>
        <v>0</v>
      </c>
      <c r="E63" s="199">
        <f>E48+E62</f>
        <v>0</v>
      </c>
      <c r="G63" s="806" t="s">
        <v>592</v>
      </c>
      <c r="H63" s="803"/>
      <c r="I63" s="803"/>
      <c r="J63" s="807">
        <v>0</v>
      </c>
    </row>
    <row r="64" spans="2:10" ht="15.75">
      <c r="B64" s="105" t="s">
        <v>35</v>
      </c>
      <c r="C64" s="105"/>
      <c r="D64" s="313"/>
      <c r="E64" s="158"/>
      <c r="G64" s="804" t="s">
        <v>593</v>
      </c>
      <c r="H64" s="796"/>
      <c r="I64" s="796"/>
      <c r="J64" s="810">
        <f>IF(J63=0,"",ROUND((J63+E81-G76)/inputOth!E7*1000,3)-G81)</f>
      </c>
    </row>
    <row r="65" spans="2:10" ht="15.75">
      <c r="B65" s="196"/>
      <c r="C65" s="327"/>
      <c r="D65" s="189"/>
      <c r="E65" s="36"/>
      <c r="G65" s="815" t="str">
        <f>CONCATENATE("",E1," Tot Exp/Non-Appr Must Be:")</f>
        <v>0 Tot Exp/Non-Appr Must Be:</v>
      </c>
      <c r="H65" s="809"/>
      <c r="I65" s="808"/>
      <c r="J65" s="814">
        <f>IF(J63&gt;0,IF(E78&lt;E63,IF(J63=G76,E78,((J63-G76)*(1-D80))+E63),E78+(J63-G76)),0)</f>
        <v>0</v>
      </c>
    </row>
    <row r="66" spans="2:10" ht="15.75">
      <c r="B66" s="196"/>
      <c r="C66" s="327"/>
      <c r="D66" s="189"/>
      <c r="E66" s="36"/>
      <c r="G66" s="816" t="s">
        <v>763</v>
      </c>
      <c r="H66" s="813"/>
      <c r="I66" s="813"/>
      <c r="J66" s="812">
        <f>IF(J63&gt;0,J65-E78,0)</f>
        <v>0</v>
      </c>
    </row>
    <row r="67" spans="2:5" ht="15.75">
      <c r="B67" s="196"/>
      <c r="C67" s="327"/>
      <c r="D67" s="189"/>
      <c r="E67" s="36"/>
    </row>
    <row r="68" spans="2:10" ht="15.75">
      <c r="B68" s="196"/>
      <c r="C68" s="327"/>
      <c r="D68" s="189"/>
      <c r="E68" s="36"/>
      <c r="G68" s="1037" t="str">
        <f>CONCATENATE("Projected Carryover Into ",E1+1,"")</f>
        <v>Projected Carryover Into 1</v>
      </c>
      <c r="H68" s="1038"/>
      <c r="I68" s="1038"/>
      <c r="J68" s="1039"/>
    </row>
    <row r="69" spans="2:10" ht="15.75">
      <c r="B69" s="196"/>
      <c r="C69" s="327"/>
      <c r="D69" s="189"/>
      <c r="E69" s="36"/>
      <c r="G69" s="795"/>
      <c r="H69" s="796"/>
      <c r="I69" s="796"/>
      <c r="J69" s="791"/>
    </row>
    <row r="70" spans="2:10" ht="15.75">
      <c r="B70" s="196"/>
      <c r="C70" s="327"/>
      <c r="D70" s="189"/>
      <c r="E70" s="36"/>
      <c r="G70" s="798">
        <f>D75</f>
        <v>0</v>
      </c>
      <c r="H70" s="802" t="str">
        <f>CONCATENATE("",E1-1," Ending Cash Balance (est.)")</f>
        <v>-1 Ending Cash Balance (est.)</v>
      </c>
      <c r="I70" s="811"/>
      <c r="J70" s="791"/>
    </row>
    <row r="71" spans="2:10" ht="15.75">
      <c r="B71" s="196"/>
      <c r="C71" s="327"/>
      <c r="D71" s="189"/>
      <c r="E71" s="36"/>
      <c r="G71" s="798">
        <f>E62</f>
        <v>0</v>
      </c>
      <c r="H71" s="803" t="str">
        <f>CONCATENATE("",E1," Non-AV Receipts (est.)")</f>
        <v>0 Non-AV Receipts (est.)</v>
      </c>
      <c r="I71" s="811"/>
      <c r="J71" s="791"/>
    </row>
    <row r="72" spans="2:11" ht="15.75">
      <c r="B72" s="205" t="s">
        <v>236</v>
      </c>
      <c r="C72" s="327"/>
      <c r="D72" s="189"/>
      <c r="E72" s="36"/>
      <c r="G72" s="800">
        <f>IF(E80&gt;0,E79,E81)</f>
        <v>0</v>
      </c>
      <c r="H72" s="803" t="str">
        <f>CONCATENATE("",E1," Ad Valorem Tax (est.)")</f>
        <v>0 Ad Valorem Tax (est.)</v>
      </c>
      <c r="I72" s="811"/>
      <c r="J72" s="791"/>
      <c r="K72" s="551">
        <f>IF(G72=E81,"","Note: Does not include Delinquent Taxes")</f>
      </c>
    </row>
    <row r="73" spans="2:10" ht="15.75">
      <c r="B73" s="205" t="s">
        <v>587</v>
      </c>
      <c r="C73" s="315">
        <f>IF(C74*0.1&lt;C72,"Exceed 10% Rule","")</f>
      </c>
      <c r="D73" s="332">
        <f>IF(D74*0.1&lt;D72,"Exceed 10% Rule","")</f>
      </c>
      <c r="E73" s="218">
        <f>IF(E74*0.1&lt;E72,"Exceed 10% Rule","")</f>
      </c>
      <c r="G73" s="554">
        <f>SUM(G70:G72)</f>
        <v>0</v>
      </c>
      <c r="H73" s="803" t="str">
        <f>CONCATENATE("Total ",E1," Resources Available")</f>
        <v>Total 0 Resources Available</v>
      </c>
      <c r="I73" s="797"/>
      <c r="J73" s="791"/>
    </row>
    <row r="74" spans="2:10" ht="15.75">
      <c r="B74" s="198" t="s">
        <v>39</v>
      </c>
      <c r="C74" s="328">
        <f>SUM(C65:C72)</f>
        <v>0</v>
      </c>
      <c r="D74" s="328">
        <f>SUM(D65:D72)</f>
        <v>0</v>
      </c>
      <c r="E74" s="199">
        <f>SUM(E65:E72)</f>
        <v>0</v>
      </c>
      <c r="G74" s="556"/>
      <c r="H74" s="799"/>
      <c r="I74" s="796"/>
      <c r="J74" s="791"/>
    </row>
    <row r="75" spans="2:10" ht="15.75">
      <c r="B75" s="105" t="s">
        <v>134</v>
      </c>
      <c r="C75" s="329">
        <f>C63-C74</f>
        <v>0</v>
      </c>
      <c r="D75" s="329">
        <f>D63-D74</f>
        <v>0</v>
      </c>
      <c r="E75" s="217" t="s">
        <v>13</v>
      </c>
      <c r="G75" s="555">
        <f>ROUND(C74*0.05+C74,0)</f>
        <v>0</v>
      </c>
      <c r="H75" s="799" t="str">
        <f>CONCATENATE("Less ",E1-2," Expenditures + 5%")</f>
        <v>Less -2 Expenditures + 5%</v>
      </c>
      <c r="I75" s="797"/>
      <c r="J75" s="791"/>
    </row>
    <row r="76" spans="2:10" ht="15.75">
      <c r="B76" s="122" t="str">
        <f>CONCATENATE("",E1-2,"/",E1-1,"/",E1," Budget Authority Amount:")</f>
        <v>-2/-1/0 Budget Authority Amount:</v>
      </c>
      <c r="C76" s="478">
        <f>inputOth!B66</f>
        <v>0</v>
      </c>
      <c r="D76" s="478">
        <f>inputPrYr!D24</f>
        <v>0</v>
      </c>
      <c r="E76" s="158">
        <f>E74</f>
        <v>0</v>
      </c>
      <c r="G76" s="557">
        <f>G73-G75</f>
        <v>0</v>
      </c>
      <c r="H76" s="558" t="str">
        <f>CONCATENATE("Projected ",E1+1," carryover (est.)")</f>
        <v>Projected 1 carryover (est.)</v>
      </c>
      <c r="I76" s="801"/>
      <c r="J76" s="531"/>
    </row>
    <row r="77" spans="2:5" ht="15.75">
      <c r="B77" s="93"/>
      <c r="C77" s="1025" t="s">
        <v>584</v>
      </c>
      <c r="D77" s="1026"/>
      <c r="E77" s="36"/>
    </row>
    <row r="78" spans="2:10" ht="15.75">
      <c r="B78" s="334" t="str">
        <f>CONCATENATE(C97,"     ",D97)</f>
        <v>     </v>
      </c>
      <c r="C78" s="1027" t="s">
        <v>585</v>
      </c>
      <c r="D78" s="1028"/>
      <c r="E78" s="158">
        <f>E74+E77</f>
        <v>0</v>
      </c>
      <c r="G78" s="1032" t="s">
        <v>819</v>
      </c>
      <c r="H78" s="1041"/>
      <c r="I78" s="1041"/>
      <c r="J78" s="1042"/>
    </row>
    <row r="79" spans="2:10" ht="15.75">
      <c r="B79" s="334" t="str">
        <f>CONCATENATE(C98,"     ",D98)</f>
        <v>     </v>
      </c>
      <c r="C79" s="208"/>
      <c r="D79" s="120" t="s">
        <v>40</v>
      </c>
      <c r="E79" s="43">
        <f>IF(E78-E63&gt;0,E78-E63,0)</f>
        <v>0</v>
      </c>
      <c r="F79" s="207"/>
      <c r="G79" s="790"/>
      <c r="H79" s="781"/>
      <c r="I79" s="782"/>
      <c r="J79" s="789"/>
    </row>
    <row r="80" spans="2:10" ht="15.75">
      <c r="B80" s="120"/>
      <c r="C80" s="320" t="s">
        <v>586</v>
      </c>
      <c r="D80" s="550">
        <f>inputOth!E50</f>
        <v>0</v>
      </c>
      <c r="E80" s="158">
        <f>ROUND(IF(D80&gt;0,(E79*D80),0),0)</f>
        <v>0</v>
      </c>
      <c r="F80" s="680">
        <f>IF(E74/0.95-E74&lt;E77,"Exceeds 5%","")</f>
      </c>
      <c r="G80" s="788" t="str">
        <f>summ!H18</f>
        <v> </v>
      </c>
      <c r="H80" s="781" t="str">
        <f>CONCATENATE("",E1," Fund Mill Rate")</f>
        <v>0 Fund Mill Rate</v>
      </c>
      <c r="I80" s="782"/>
      <c r="J80" s="789"/>
    </row>
    <row r="81" spans="2:10" ht="16.5" thickBot="1">
      <c r="B81" s="16"/>
      <c r="C81" s="1043" t="str">
        <f>CONCATENATE("Amount of  ",E1-1," Ad Valorem Tax")</f>
        <v>Amount of  -1 Ad Valorem Tax</v>
      </c>
      <c r="D81" s="1044"/>
      <c r="E81" s="223">
        <f>E79+E80</f>
        <v>0</v>
      </c>
      <c r="G81" s="787" t="str">
        <f>summ!E18</f>
        <v>  </v>
      </c>
      <c r="H81" s="781" t="str">
        <f>CONCATENATE("",E1-1," Fund Mill Rate")</f>
        <v>-1 Fund Mill Rate</v>
      </c>
      <c r="I81" s="782"/>
      <c r="J81" s="789"/>
    </row>
    <row r="82" spans="2:10" ht="16.5" thickTop="1">
      <c r="B82" s="16"/>
      <c r="C82" s="1043"/>
      <c r="D82" s="1043"/>
      <c r="E82" s="16"/>
      <c r="G82" s="786">
        <f>summ!H43</f>
        <v>0</v>
      </c>
      <c r="H82" s="781" t="str">
        <f>CONCATENATE("Total ",E1," Mill Rate")</f>
        <v>Total 0 Mill Rate</v>
      </c>
      <c r="I82" s="782"/>
      <c r="J82" s="789"/>
    </row>
    <row r="83" spans="2:10" ht="15.75">
      <c r="B83" s="961" t="s">
        <v>999</v>
      </c>
      <c r="C83" s="841"/>
      <c r="D83" s="841"/>
      <c r="E83" s="842"/>
      <c r="G83" s="787">
        <f>summ!E43</f>
        <v>0</v>
      </c>
      <c r="H83" s="785" t="str">
        <f>CONCATENATE("Total ",E1-1," Mill Rate")</f>
        <v>Total -1 Mill Rate</v>
      </c>
      <c r="I83" s="784"/>
      <c r="J83" s="783"/>
    </row>
    <row r="84" spans="2:6" ht="15.75">
      <c r="B84" s="48"/>
      <c r="C84" s="321"/>
      <c r="D84" s="321"/>
      <c r="E84" s="613"/>
      <c r="F84" s="534" t="str">
        <f>IF('Library Grant '!F33="","",IF('Library Grant '!F33="Qualify","Qualifies for State Library Grant","See 'Library Grant' tab"))</f>
        <v>Qualifies for State Library Grant</v>
      </c>
    </row>
    <row r="85" spans="2:10" ht="15.75">
      <c r="B85" s="512"/>
      <c r="C85" s="843"/>
      <c r="D85" s="843"/>
      <c r="E85" s="55"/>
      <c r="G85" s="776"/>
      <c r="H85" s="774"/>
      <c r="I85" s="775"/>
      <c r="J85" s="792"/>
    </row>
    <row r="86" spans="2:10" ht="15.75">
      <c r="B86" s="16"/>
      <c r="C86" s="321"/>
      <c r="D86" s="120"/>
      <c r="E86" s="120"/>
      <c r="G86" s="773" t="str">
        <f>CONCATENATE("Computed ",E1," tax levy limit amount")</f>
        <v>Computed 0 tax levy limit amount</v>
      </c>
      <c r="H86" s="777"/>
      <c r="I86" s="777"/>
      <c r="J86" s="772">
        <f>Comp1!J47</f>
        <v>0</v>
      </c>
    </row>
    <row r="87" spans="2:10" ht="15.75">
      <c r="B87" s="93" t="s">
        <v>42</v>
      </c>
      <c r="C87" s="710"/>
      <c r="D87" s="59"/>
      <c r="E87" s="16"/>
      <c r="G87" s="771" t="str">
        <f>CONCATENATE("Total ",E1," tax levy amount")</f>
        <v>Total 0 tax levy amount</v>
      </c>
      <c r="H87" s="526"/>
      <c r="I87" s="526"/>
      <c r="J87" s="770">
        <f>summ!G43</f>
        <v>0</v>
      </c>
    </row>
    <row r="88" ht="15.75">
      <c r="B88" s="319"/>
    </row>
    <row r="89" ht="15.75">
      <c r="C89" s="64"/>
    </row>
    <row r="90" ht="15.75">
      <c r="B90" s="64"/>
    </row>
    <row r="94" spans="3:4" ht="15.75" hidden="1">
      <c r="C94" s="17">
        <f>IF(C35&gt;C37,"See Tab A","")</f>
      </c>
      <c r="D94" s="17">
        <f>IF(D35&gt;D37,"See Tab C","")</f>
      </c>
    </row>
    <row r="95" spans="3:4" ht="15.75" hidden="1">
      <c r="C95" s="17">
        <f>IF(C36&lt;0,"See Tab B","")</f>
      </c>
      <c r="D95" s="17">
        <f>IF(D36&lt;0,"See Tab D","")</f>
      </c>
    </row>
    <row r="96" ht="15.75" hidden="1"/>
    <row r="97" spans="3:4" ht="15.75" hidden="1">
      <c r="C97" s="17">
        <f>IF(C74&gt;C76,"See Tab A","")</f>
      </c>
      <c r="D97" s="17">
        <f>IF(D74&gt;D76,"See Tab C","")</f>
      </c>
    </row>
    <row r="98" spans="3:4" ht="15.75" hidden="1">
      <c r="C98" s="17">
        <f>IF(C75&lt;0,"See Tab B","")</f>
      </c>
      <c r="D98" s="17">
        <f>IF(D75&lt;0,"See Tab D","")</f>
      </c>
    </row>
  </sheetData>
  <sheetProtection/>
  <mergeCells count="14">
    <mergeCell ref="C82:D82"/>
    <mergeCell ref="C81:D81"/>
    <mergeCell ref="C77:D77"/>
    <mergeCell ref="C78:D78"/>
    <mergeCell ref="C38:D38"/>
    <mergeCell ref="C39:D39"/>
    <mergeCell ref="C42:D42"/>
    <mergeCell ref="C43:D43"/>
    <mergeCell ref="G26:J26"/>
    <mergeCell ref="G36:J36"/>
    <mergeCell ref="G68:J68"/>
    <mergeCell ref="G19:J19"/>
    <mergeCell ref="G61:J61"/>
    <mergeCell ref="G78:J78"/>
  </mergeCells>
  <conditionalFormatting sqref="E72">
    <cfRule type="cellIs" priority="20" dxfId="260" operator="greaterThan" stopIfTrue="1">
      <formula>$E$74*0.1</formula>
    </cfRule>
  </conditionalFormatting>
  <conditionalFormatting sqref="E77">
    <cfRule type="cellIs" priority="19" dxfId="260" operator="greaterThan" stopIfTrue="1">
      <formula>$E$74/0.95-$E$74</formula>
    </cfRule>
  </conditionalFormatting>
  <conditionalFormatting sqref="E33">
    <cfRule type="cellIs" priority="18" dxfId="260" operator="greaterThan" stopIfTrue="1">
      <formula>$E$35*0.1</formula>
    </cfRule>
  </conditionalFormatting>
  <conditionalFormatting sqref="E38">
    <cfRule type="cellIs" priority="17" dxfId="260" operator="greaterThan" stopIfTrue="1">
      <formula>$E$35/0.95-$E$35</formula>
    </cfRule>
  </conditionalFormatting>
  <conditionalFormatting sqref="C74">
    <cfRule type="cellIs" priority="16" dxfId="0" operator="greaterThan" stopIfTrue="1">
      <formula>$C$76</formula>
    </cfRule>
  </conditionalFormatting>
  <conditionalFormatting sqref="C75 C36">
    <cfRule type="cellIs" priority="15" dxfId="0" operator="lessThan" stopIfTrue="1">
      <formula>0</formula>
    </cfRule>
  </conditionalFormatting>
  <conditionalFormatting sqref="D74">
    <cfRule type="cellIs" priority="14" dxfId="0" operator="greaterThan" stopIfTrue="1">
      <formula>$D$76</formula>
    </cfRule>
  </conditionalFormatting>
  <conditionalFormatting sqref="C35">
    <cfRule type="cellIs" priority="13" dxfId="0" operator="greaterThan" stopIfTrue="1">
      <formula>$C$37</formula>
    </cfRule>
  </conditionalFormatting>
  <conditionalFormatting sqref="D35">
    <cfRule type="cellIs" priority="12" dxfId="0" operator="greaterThan" stopIfTrue="1">
      <formula>$D$37</formula>
    </cfRule>
  </conditionalFormatting>
  <conditionalFormatting sqref="C33">
    <cfRule type="cellIs" priority="11" dxfId="0" operator="greaterThan" stopIfTrue="1">
      <formula>$C$35*0.1</formula>
    </cfRule>
  </conditionalFormatting>
  <conditionalFormatting sqref="D33">
    <cfRule type="cellIs" priority="10" dxfId="0" operator="greaterThan" stopIfTrue="1">
      <formula>$D$35*0.1</formula>
    </cfRule>
  </conditionalFormatting>
  <conditionalFormatting sqref="C72">
    <cfRule type="cellIs" priority="9" dxfId="0" operator="greaterThan" stopIfTrue="1">
      <formula>$C$74*0.1</formula>
    </cfRule>
  </conditionalFormatting>
  <conditionalFormatting sqref="D72">
    <cfRule type="cellIs" priority="8" dxfId="0" operator="greaterThan" stopIfTrue="1">
      <formula>$D$74*0.1</formula>
    </cfRule>
  </conditionalFormatting>
  <conditionalFormatting sqref="D21">
    <cfRule type="cellIs" priority="7" dxfId="0" operator="greaterThan" stopIfTrue="1">
      <formula>$D$23*0.1</formula>
    </cfRule>
  </conditionalFormatting>
  <conditionalFormatting sqref="C21">
    <cfRule type="cellIs" priority="6" dxfId="0" operator="greaterThan" stopIfTrue="1">
      <formula>$C$23*0.1</formula>
    </cfRule>
  </conditionalFormatting>
  <conditionalFormatting sqref="E21">
    <cfRule type="cellIs" priority="5" dxfId="260" operator="greaterThan" stopIfTrue="1">
      <formula>$E$23*0.1+E42</formula>
    </cfRule>
  </conditionalFormatting>
  <conditionalFormatting sqref="C60">
    <cfRule type="cellIs" priority="4" dxfId="260" operator="greaterThan" stopIfTrue="1">
      <formula>$C$62*0.1</formula>
    </cfRule>
  </conditionalFormatting>
  <conditionalFormatting sqref="D60">
    <cfRule type="cellIs" priority="3" dxfId="260" operator="greaterThan" stopIfTrue="1">
      <formula>$D$62*0.1</formula>
    </cfRule>
  </conditionalFormatting>
  <conditionalFormatting sqref="E60">
    <cfRule type="cellIs" priority="2" dxfId="260" operator="greaterThan" stopIfTrue="1">
      <formula>$E$62*0.1+E81</formula>
    </cfRule>
  </conditionalFormatting>
  <conditionalFormatting sqref="D75 D36">
    <cfRule type="cellIs" priority="1" dxfId="1"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102"/>
  <sheetViews>
    <sheetView zoomScalePageLayoutView="0" workbookViewId="0" topLeftCell="A1">
      <selection activeCell="D107" sqref="D107"/>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6" width="8.8984375" style="17" customWidth="1"/>
    <col min="7" max="7" width="10.19921875" style="17" customWidth="1"/>
    <col min="8" max="8" width="8.8984375" style="17" customWidth="1"/>
    <col min="9" max="9" width="5.8984375" style="17" customWidth="1"/>
    <col min="10" max="10" width="10" style="17" customWidth="1"/>
    <col min="11" max="16384" width="8.8984375" style="17" customWidth="1"/>
  </cols>
  <sheetData>
    <row r="1" spans="2:5" ht="15.75">
      <c r="B1" s="124">
        <f>(inputPrYr!D3)</f>
        <v>0</v>
      </c>
      <c r="C1" s="16"/>
      <c r="D1" s="16"/>
      <c r="E1" s="177">
        <f>inputPrYr!C6</f>
        <v>0</v>
      </c>
    </row>
    <row r="2" spans="2:5" ht="15.75">
      <c r="B2" s="16"/>
      <c r="C2" s="16"/>
      <c r="D2" s="16"/>
      <c r="E2" s="120"/>
    </row>
    <row r="3" spans="2:5" ht="15.75">
      <c r="B3" s="27" t="s">
        <v>91</v>
      </c>
      <c r="C3" s="136"/>
      <c r="D3" s="136"/>
      <c r="E3" s="220"/>
    </row>
    <row r="4" spans="2:5" ht="15.75">
      <c r="B4" s="19" t="s">
        <v>23</v>
      </c>
      <c r="C4" s="592" t="s">
        <v>758</v>
      </c>
      <c r="D4" s="593" t="s">
        <v>761</v>
      </c>
      <c r="E4" s="99" t="s">
        <v>762</v>
      </c>
    </row>
    <row r="5" spans="2:5" ht="15.75">
      <c r="B5" s="331">
        <f>inputPrYr!B26</f>
        <v>0</v>
      </c>
      <c r="C5" s="314" t="str">
        <f>CONCATENATE("Actual for ",E1-2,"")</f>
        <v>Actual for -2</v>
      </c>
      <c r="D5" s="314" t="str">
        <f>CONCATENATE("Estimate for ",E1-1,"")</f>
        <v>Estimate for -1</v>
      </c>
      <c r="E5" s="187" t="str">
        <f>CONCATENATE("Year for ",E1,"")</f>
        <v>Year for 0</v>
      </c>
    </row>
    <row r="6" spans="2:5" ht="15.75">
      <c r="B6" s="188" t="s">
        <v>133</v>
      </c>
      <c r="C6" s="189"/>
      <c r="D6" s="313">
        <f>C34</f>
        <v>0</v>
      </c>
      <c r="E6" s="158">
        <f>D34</f>
        <v>0</v>
      </c>
    </row>
    <row r="7" spans="2:5" ht="15.75">
      <c r="B7" s="191" t="s">
        <v>135</v>
      </c>
      <c r="C7" s="113"/>
      <c r="D7" s="113"/>
      <c r="E7" s="51"/>
    </row>
    <row r="8" spans="2:5" ht="15.75">
      <c r="B8" s="105" t="s">
        <v>24</v>
      </c>
      <c r="C8" s="189"/>
      <c r="D8" s="313">
        <f>IF(inputPrYr!H21&gt;0,inputPrYr!G26,inputPrYr!E26)</f>
        <v>0</v>
      </c>
      <c r="E8" s="217" t="s">
        <v>13</v>
      </c>
    </row>
    <row r="9" spans="2:5" ht="15.75">
      <c r="B9" s="105" t="s">
        <v>25</v>
      </c>
      <c r="C9" s="189"/>
      <c r="D9" s="189"/>
      <c r="E9" s="36"/>
    </row>
    <row r="10" spans="2:5" ht="15.75">
      <c r="B10" s="105" t="s">
        <v>26</v>
      </c>
      <c r="C10" s="189"/>
      <c r="D10" s="189"/>
      <c r="E10" s="158" t="str">
        <f>mvalloc!D10</f>
        <v>  </v>
      </c>
    </row>
    <row r="11" spans="2:5" ht="15.75">
      <c r="B11" s="105" t="s">
        <v>27</v>
      </c>
      <c r="C11" s="189"/>
      <c r="D11" s="189"/>
      <c r="E11" s="158" t="str">
        <f>mvalloc!E10</f>
        <v> </v>
      </c>
    </row>
    <row r="12" spans="2:5" ht="15.75">
      <c r="B12" s="113" t="s">
        <v>122</v>
      </c>
      <c r="C12" s="189"/>
      <c r="D12" s="189"/>
      <c r="E12" s="158" t="str">
        <f>mvalloc!F10</f>
        <v> </v>
      </c>
    </row>
    <row r="13" spans="2:5" ht="15.75">
      <c r="B13" s="757" t="s">
        <v>978</v>
      </c>
      <c r="C13" s="189"/>
      <c r="D13" s="189"/>
      <c r="E13" s="158" t="str">
        <f>mvalloc!G10</f>
        <v> </v>
      </c>
    </row>
    <row r="14" spans="2:5" ht="15.75">
      <c r="B14" s="757" t="s">
        <v>979</v>
      </c>
      <c r="C14" s="189"/>
      <c r="D14" s="189"/>
      <c r="E14" s="158" t="str">
        <f>mvalloc!H10</f>
        <v> </v>
      </c>
    </row>
    <row r="15" spans="2:5" ht="15.75">
      <c r="B15" s="36"/>
      <c r="C15" s="189"/>
      <c r="D15" s="189"/>
      <c r="E15" s="36"/>
    </row>
    <row r="16" spans="2:5" ht="15.75">
      <c r="B16" s="204"/>
      <c r="C16" s="189"/>
      <c r="D16" s="189"/>
      <c r="E16" s="36"/>
    </row>
    <row r="17" spans="2:5" ht="15.75">
      <c r="B17" s="196" t="s">
        <v>31</v>
      </c>
      <c r="C17" s="189"/>
      <c r="D17" s="189"/>
      <c r="E17" s="36"/>
    </row>
    <row r="18" spans="2:5" ht="15.75">
      <c r="B18" s="205" t="s">
        <v>237</v>
      </c>
      <c r="C18" s="189"/>
      <c r="D18" s="189"/>
      <c r="E18" s="821">
        <f>nhood!E9*-1</f>
        <v>0</v>
      </c>
    </row>
    <row r="19" spans="2:10" ht="15.75">
      <c r="B19" s="113" t="s">
        <v>236</v>
      </c>
      <c r="C19" s="189"/>
      <c r="D19" s="189"/>
      <c r="E19" s="36"/>
      <c r="G19" s="1040" t="str">
        <f>CONCATENATE("Desired Carryover Into ",E1+1,"")</f>
        <v>Desired Carryover Into 1</v>
      </c>
      <c r="H19" s="1030"/>
      <c r="I19" s="1030"/>
      <c r="J19" s="1031"/>
    </row>
    <row r="20" spans="2:10" ht="15.75">
      <c r="B20" s="188" t="s">
        <v>746</v>
      </c>
      <c r="C20" s="311">
        <f>IF(C21*0.1&lt;C19,"Exceed 10% Rule","")</f>
      </c>
      <c r="D20" s="311">
        <f>IF(D21*0.1&lt;D19,"Exceed 10% Rule","")</f>
      </c>
      <c r="E20" s="318">
        <f>IF(E21*0.1+E40&lt;E19,"Exceed 10% Rule","")</f>
      </c>
      <c r="G20" s="632"/>
      <c r="H20" s="619"/>
      <c r="I20" s="626"/>
      <c r="J20" s="633"/>
    </row>
    <row r="21" spans="2:10" ht="15.75">
      <c r="B21" s="198" t="s">
        <v>32</v>
      </c>
      <c r="C21" s="316">
        <f>SUM(C8:C19)</f>
        <v>0</v>
      </c>
      <c r="D21" s="316">
        <f>SUM(D8:D19)</f>
        <v>0</v>
      </c>
      <c r="E21" s="222">
        <f>SUM(E8:E19)</f>
        <v>0</v>
      </c>
      <c r="G21" s="631" t="s">
        <v>592</v>
      </c>
      <c r="H21" s="626"/>
      <c r="I21" s="626"/>
      <c r="J21" s="620">
        <v>0</v>
      </c>
    </row>
    <row r="22" spans="2:10" ht="15.75">
      <c r="B22" s="198" t="s">
        <v>33</v>
      </c>
      <c r="C22" s="313">
        <f>C6+C21</f>
        <v>0</v>
      </c>
      <c r="D22" s="313">
        <f>D6+D21</f>
        <v>0</v>
      </c>
      <c r="E22" s="158">
        <f>E6+E21</f>
        <v>0</v>
      </c>
      <c r="G22" s="632" t="s">
        <v>593</v>
      </c>
      <c r="H22" s="619"/>
      <c r="I22" s="619"/>
      <c r="J22" s="657">
        <f>IF(J21=0,"",ROUND((J21+E40-G34)/inputOth!E7*1000,3)-G39)</f>
      </c>
    </row>
    <row r="23" spans="2:10" ht="15.75">
      <c r="B23" s="105" t="s">
        <v>35</v>
      </c>
      <c r="C23" s="205"/>
      <c r="D23" s="205"/>
      <c r="E23" s="34"/>
      <c r="G23" s="655" t="str">
        <f>CONCATENATE("",E1," Tot Exp/Non-Appr Must Be:")</f>
        <v>0 Tot Exp/Non-Appr Must Be:</v>
      </c>
      <c r="H23" s="653"/>
      <c r="I23" s="654"/>
      <c r="J23" s="650">
        <f>IF(J21&gt;0,IF(E37&lt;E22,IF(J21=G34,E37,((J21-G34)*(1-D39))+E22),E37+(J21-G34)),0)</f>
        <v>0</v>
      </c>
    </row>
    <row r="24" spans="2:10" ht="15.75">
      <c r="B24" s="204"/>
      <c r="C24" s="189"/>
      <c r="D24" s="189"/>
      <c r="E24" s="36"/>
      <c r="G24" s="548" t="s">
        <v>763</v>
      </c>
      <c r="H24" s="660"/>
      <c r="I24" s="660"/>
      <c r="J24" s="656">
        <f>IF(J21&gt;0,J23-E37,0)</f>
        <v>0</v>
      </c>
    </row>
    <row r="25" spans="2:10" ht="15.75">
      <c r="B25" s="204"/>
      <c r="C25" s="189"/>
      <c r="D25" s="189"/>
      <c r="E25" s="36"/>
      <c r="J25" s="610"/>
    </row>
    <row r="26" spans="2:10" ht="15.75">
      <c r="B26" s="204"/>
      <c r="C26" s="189"/>
      <c r="D26" s="189"/>
      <c r="E26" s="36"/>
      <c r="G26" s="1040" t="str">
        <f>CONCATENATE("Projected Carryover Into ",E1+1,"")</f>
        <v>Projected Carryover Into 1</v>
      </c>
      <c r="H26" s="1036"/>
      <c r="I26" s="1036"/>
      <c r="J26" s="1045"/>
    </row>
    <row r="27" spans="2:10" ht="15.75">
      <c r="B27" s="204"/>
      <c r="C27" s="189"/>
      <c r="D27" s="189"/>
      <c r="E27" s="36"/>
      <c r="G27" s="632"/>
      <c r="H27" s="626"/>
      <c r="I27" s="626"/>
      <c r="J27" s="666"/>
    </row>
    <row r="28" spans="2:10" ht="15.75">
      <c r="B28" s="204"/>
      <c r="C28" s="189"/>
      <c r="D28" s="189"/>
      <c r="E28" s="36"/>
      <c r="G28" s="623">
        <f>D34</f>
        <v>0</v>
      </c>
      <c r="H28" s="624" t="str">
        <f>CONCATENATE("",E1-1," Ending Cash Balance (est.)")</f>
        <v>-1 Ending Cash Balance (est.)</v>
      </c>
      <c r="I28" s="625"/>
      <c r="J28" s="666"/>
    </row>
    <row r="29" spans="2:10" ht="15.75">
      <c r="B29" s="204"/>
      <c r="C29" s="189"/>
      <c r="D29" s="189"/>
      <c r="E29" s="36"/>
      <c r="G29" s="623">
        <f>E21</f>
        <v>0</v>
      </c>
      <c r="H29" s="626" t="str">
        <f>CONCATENATE("",E1," Non-AV Receipts (est.)")</f>
        <v>0 Non-AV Receipts (est.)</v>
      </c>
      <c r="I29" s="625"/>
      <c r="J29" s="666"/>
    </row>
    <row r="30" spans="2:11" ht="15.75">
      <c r="B30" s="205" t="str">
        <f>CONCATENATE("Cash Forward (",E1," column)")</f>
        <v>Cash Forward (0 column)</v>
      </c>
      <c r="C30" s="189"/>
      <c r="D30" s="189"/>
      <c r="E30" s="36"/>
      <c r="G30" s="627">
        <f>IF(E39&gt;0,E38,E40)</f>
        <v>0</v>
      </c>
      <c r="H30" s="626" t="str">
        <f>CONCATENATE("",E1," Ad Valorem Tax (est.)")</f>
        <v>0 Ad Valorem Tax (est.)</v>
      </c>
      <c r="I30" s="625"/>
      <c r="J30" s="668"/>
      <c r="K30" s="551">
        <f>IF(G30=E40,"","Note: Does not include Delinquent Taxes")</f>
      </c>
    </row>
    <row r="31" spans="2:10" ht="15.75">
      <c r="B31" s="205" t="s">
        <v>236</v>
      </c>
      <c r="C31" s="189"/>
      <c r="D31" s="189"/>
      <c r="E31" s="36"/>
      <c r="G31" s="623">
        <f>SUM(G28:G30)</f>
        <v>0</v>
      </c>
      <c r="H31" s="626" t="str">
        <f>CONCATENATE("Total ",E1," Resources Available")</f>
        <v>Total 0 Resources Available</v>
      </c>
      <c r="I31" s="625"/>
      <c r="J31" s="666"/>
    </row>
    <row r="32" spans="2:10" ht="15.75">
      <c r="B32" s="205" t="s">
        <v>747</v>
      </c>
      <c r="C32" s="311">
        <f>IF(C33*0.1&lt;C31,"Exceed 10% Rule","")</f>
      </c>
      <c r="D32" s="311">
        <f>IF(D33*0.1&lt;D31,"Exceed 10% Rule","")</f>
      </c>
      <c r="E32" s="318">
        <f>IF(E33*0.1&lt;E31,"Exceed 10% Rule","")</f>
      </c>
      <c r="G32" s="628"/>
      <c r="H32" s="626"/>
      <c r="I32" s="626"/>
      <c r="J32" s="666"/>
    </row>
    <row r="33" spans="2:10" ht="15.75">
      <c r="B33" s="198" t="s">
        <v>39</v>
      </c>
      <c r="C33" s="316">
        <f>SUM(C24:C31)</f>
        <v>0</v>
      </c>
      <c r="D33" s="316">
        <f>SUM(D24:D31)</f>
        <v>0</v>
      </c>
      <c r="E33" s="222">
        <f>SUM(E24:E31)</f>
        <v>0</v>
      </c>
      <c r="G33" s="627">
        <f>ROUND(C33*0.05+C33,0)</f>
        <v>0</v>
      </c>
      <c r="H33" s="626" t="str">
        <f>CONCATENATE("Less ",E1-2," Expenditures + 5%")</f>
        <v>Less -2 Expenditures + 5%</v>
      </c>
      <c r="I33" s="625"/>
      <c r="J33" s="666"/>
    </row>
    <row r="34" spans="2:10" ht="15.75">
      <c r="B34" s="105" t="s">
        <v>134</v>
      </c>
      <c r="C34" s="313">
        <f>C22-C33</f>
        <v>0</v>
      </c>
      <c r="D34" s="313">
        <f>D22-D33</f>
        <v>0</v>
      </c>
      <c r="E34" s="217" t="s">
        <v>13</v>
      </c>
      <c r="G34" s="658">
        <f>G31-G33</f>
        <v>0</v>
      </c>
      <c r="H34" s="659" t="str">
        <f>CONCATENATE("Projected ",E1+1," carryover (est.)")</f>
        <v>Projected 1 carryover (est.)</v>
      </c>
      <c r="I34" s="629"/>
      <c r="J34" s="667"/>
    </row>
    <row r="35" spans="2:10" ht="15.75">
      <c r="B35" s="122" t="str">
        <f>CONCATENATE("",E1-2,"/",E1-1,"/",E1," Budget Authority Amount:")</f>
        <v>-2/-1/0 Budget Authority Amount:</v>
      </c>
      <c r="C35" s="478">
        <f>inputOth!B67</f>
        <v>0</v>
      </c>
      <c r="D35" s="685">
        <f>inputPrYr!D26</f>
        <v>0</v>
      </c>
      <c r="E35" s="158">
        <f>E33</f>
        <v>0</v>
      </c>
      <c r="G35" s="610"/>
      <c r="H35" s="610"/>
      <c r="I35" s="610"/>
      <c r="J35" s="610"/>
    </row>
    <row r="36" spans="2:10" ht="15.75">
      <c r="B36" s="93"/>
      <c r="C36" s="1025" t="s">
        <v>584</v>
      </c>
      <c r="D36" s="1026"/>
      <c r="E36" s="36"/>
      <c r="G36" s="1032" t="s">
        <v>819</v>
      </c>
      <c r="H36" s="1033"/>
      <c r="I36" s="1033"/>
      <c r="J36" s="1034"/>
    </row>
    <row r="37" spans="2:10" ht="15.75">
      <c r="B37" s="334" t="str">
        <f>CONCATENATE(C99,"     ",D99)</f>
        <v>     </v>
      </c>
      <c r="C37" s="1027" t="s">
        <v>585</v>
      </c>
      <c r="D37" s="1028"/>
      <c r="E37" s="158">
        <f>SUM(E33+E36)</f>
        <v>0</v>
      </c>
      <c r="F37" s="207"/>
      <c r="G37" s="662"/>
      <c r="H37" s="624"/>
      <c r="I37" s="651"/>
      <c r="J37" s="652"/>
    </row>
    <row r="38" spans="2:10" ht="15.75">
      <c r="B38" s="334" t="str">
        <f>CONCATENATE(C100,"     ",D100)</f>
        <v>     </v>
      </c>
      <c r="C38" s="320"/>
      <c r="D38" s="120" t="s">
        <v>40</v>
      </c>
      <c r="E38" s="158">
        <f>IF(E37-E22&gt;0,E37-E22,0)</f>
        <v>0</v>
      </c>
      <c r="F38" s="680">
        <f>IF(E33/0.95-E33&lt;E36,"Exceeds 5%","")</f>
      </c>
      <c r="G38" s="664" t="str">
        <f>summ!H19</f>
        <v>  </v>
      </c>
      <c r="H38" s="624" t="str">
        <f>CONCATENATE("",E1," Fund Mill Rate")</f>
        <v>0 Fund Mill Rate</v>
      </c>
      <c r="I38" s="651"/>
      <c r="J38" s="652"/>
    </row>
    <row r="39" spans="2:10" ht="15.75">
      <c r="B39" s="334"/>
      <c r="C39" s="320" t="s">
        <v>586</v>
      </c>
      <c r="D39" s="550">
        <f>inputOth!$E$50</f>
        <v>0</v>
      </c>
      <c r="E39" s="158">
        <f>ROUND(IF(D39&gt;0,(E38*D39),0),0)</f>
        <v>0</v>
      </c>
      <c r="G39" s="663" t="str">
        <f>summ!E19</f>
        <v>  </v>
      </c>
      <c r="H39" s="624" t="str">
        <f>CONCATENATE("",E1-1," Fund Mill Rate")</f>
        <v>-1 Fund Mill Rate</v>
      </c>
      <c r="I39" s="651"/>
      <c r="J39" s="652"/>
    </row>
    <row r="40" spans="2:10" ht="16.5" thickBot="1">
      <c r="B40" s="16"/>
      <c r="C40" s="1018" t="str">
        <f>CONCATENATE("Amount of  ",$E$1-1," Ad Valorem Tax")</f>
        <v>Amount of  -1 Ad Valorem Tax</v>
      </c>
      <c r="D40" s="1029"/>
      <c r="E40" s="223">
        <f>SUM(E38:E39)</f>
        <v>0</v>
      </c>
      <c r="G40" s="665">
        <f>summ!H43</f>
        <v>0</v>
      </c>
      <c r="H40" s="624" t="str">
        <f>CONCATENATE("Total ",E1," Mill Rate")</f>
        <v>Total 0 Mill Rate</v>
      </c>
      <c r="I40" s="651"/>
      <c r="J40" s="652"/>
    </row>
    <row r="41" spans="2:10" ht="16.5" thickTop="1">
      <c r="B41" s="16"/>
      <c r="C41" s="1043"/>
      <c r="D41" s="1043"/>
      <c r="E41" s="16"/>
      <c r="G41" s="663">
        <f>summ!E43</f>
        <v>0</v>
      </c>
      <c r="H41" s="647" t="str">
        <f>CONCATENATE("Total ",E1-1," Mill Rate")</f>
        <v>Total -1 Mill Rate</v>
      </c>
      <c r="I41" s="648"/>
      <c r="J41" s="649"/>
    </row>
    <row r="42" spans="2:5" ht="15.75">
      <c r="B42" s="16"/>
      <c r="C42" s="16"/>
      <c r="D42" s="16"/>
      <c r="E42" s="16"/>
    </row>
    <row r="43" spans="2:10" ht="15.75">
      <c r="B43" s="19"/>
      <c r="C43" s="221"/>
      <c r="D43" s="221"/>
      <c r="E43" s="221"/>
      <c r="G43" s="776"/>
      <c r="H43" s="761"/>
      <c r="I43" s="760"/>
      <c r="J43" s="792"/>
    </row>
    <row r="44" spans="2:10" ht="15.75">
      <c r="B44" s="19" t="s">
        <v>23</v>
      </c>
      <c r="C44" s="592" t="str">
        <f aca="true" t="shared" si="0" ref="C44:E45">C4</f>
        <v>Prior Year </v>
      </c>
      <c r="D44" s="593" t="str">
        <f t="shared" si="0"/>
        <v>Current Year </v>
      </c>
      <c r="E44" s="99" t="str">
        <f t="shared" si="0"/>
        <v>Proposed Budget </v>
      </c>
      <c r="G44" s="765" t="str">
        <f>CONCATENATE("Computed ",E1," tax levy limit amount")</f>
        <v>Computed 0 tax levy limit amount</v>
      </c>
      <c r="H44" s="764"/>
      <c r="I44" s="764"/>
      <c r="J44" s="759">
        <f>Comp1!J47</f>
        <v>0</v>
      </c>
    </row>
    <row r="45" spans="2:10" ht="15.75">
      <c r="B45" s="330">
        <f>(inputPrYr!B27)</f>
        <v>0</v>
      </c>
      <c r="C45" s="314" t="str">
        <f t="shared" si="0"/>
        <v>Actual for -2</v>
      </c>
      <c r="D45" s="314" t="str">
        <f t="shared" si="0"/>
        <v>Estimate for -1</v>
      </c>
      <c r="E45" s="143" t="str">
        <f t="shared" si="0"/>
        <v>Year for 0</v>
      </c>
      <c r="G45" s="763" t="str">
        <f>CONCATENATE("Total ",E1," tax levy amount")</f>
        <v>Total 0 tax levy amount</v>
      </c>
      <c r="H45" s="762"/>
      <c r="I45" s="762"/>
      <c r="J45" s="758">
        <f>summ!G43</f>
        <v>0</v>
      </c>
    </row>
    <row r="46" spans="2:5" ht="15.75">
      <c r="B46" s="188" t="s">
        <v>133</v>
      </c>
      <c r="C46" s="189"/>
      <c r="D46" s="313">
        <f>C76</f>
        <v>0</v>
      </c>
      <c r="E46" s="158">
        <f>D76</f>
        <v>0</v>
      </c>
    </row>
    <row r="47" spans="2:5" ht="15.75">
      <c r="B47" s="188" t="s">
        <v>135</v>
      </c>
      <c r="C47" s="113"/>
      <c r="D47" s="113"/>
      <c r="E47" s="51"/>
    </row>
    <row r="48" spans="2:5" ht="15.75">
      <c r="B48" s="105" t="s">
        <v>24</v>
      </c>
      <c r="C48" s="189"/>
      <c r="D48" s="313">
        <f>IF(inputPrYr!H21&gt;0,inputPrYr!G27,inputPrYr!E27)</f>
        <v>0</v>
      </c>
      <c r="E48" s="217" t="s">
        <v>13</v>
      </c>
    </row>
    <row r="49" spans="2:5" ht="15.75">
      <c r="B49" s="105" t="s">
        <v>25</v>
      </c>
      <c r="C49" s="189"/>
      <c r="D49" s="189"/>
      <c r="E49" s="36"/>
    </row>
    <row r="50" spans="2:5" ht="15.75">
      <c r="B50" s="105" t="s">
        <v>26</v>
      </c>
      <c r="C50" s="189"/>
      <c r="D50" s="189"/>
      <c r="E50" s="158" t="str">
        <f>mvalloc!D11</f>
        <v>  </v>
      </c>
    </row>
    <row r="51" spans="2:5" ht="15.75">
      <c r="B51" s="105" t="s">
        <v>27</v>
      </c>
      <c r="C51" s="189"/>
      <c r="D51" s="189"/>
      <c r="E51" s="158" t="str">
        <f>mvalloc!E11</f>
        <v> </v>
      </c>
    </row>
    <row r="52" spans="2:5" ht="15.75">
      <c r="B52" s="113" t="s">
        <v>122</v>
      </c>
      <c r="C52" s="189"/>
      <c r="D52" s="189"/>
      <c r="E52" s="158" t="str">
        <f>mvalloc!F11</f>
        <v> </v>
      </c>
    </row>
    <row r="53" spans="2:5" ht="15.75">
      <c r="B53" s="757" t="s">
        <v>978</v>
      </c>
      <c r="C53" s="189"/>
      <c r="D53" s="189"/>
      <c r="E53" s="158" t="str">
        <f>mvalloc!G11</f>
        <v> </v>
      </c>
    </row>
    <row r="54" spans="2:5" ht="15.75">
      <c r="B54" s="757" t="s">
        <v>979</v>
      </c>
      <c r="C54" s="189"/>
      <c r="D54" s="189"/>
      <c r="E54" s="158" t="str">
        <f>mvalloc!H11</f>
        <v> </v>
      </c>
    </row>
    <row r="55" spans="2:5" ht="15.75">
      <c r="B55" s="36"/>
      <c r="C55" s="189"/>
      <c r="D55" s="189"/>
      <c r="E55" s="36"/>
    </row>
    <row r="56" spans="2:5" ht="15.75">
      <c r="B56" s="204"/>
      <c r="C56" s="189"/>
      <c r="D56" s="189"/>
      <c r="E56" s="36"/>
    </row>
    <row r="57" spans="2:5" ht="15.75">
      <c r="B57" s="204"/>
      <c r="C57" s="189"/>
      <c r="D57" s="189"/>
      <c r="E57" s="36"/>
    </row>
    <row r="58" spans="2:5" ht="15.75">
      <c r="B58" s="204"/>
      <c r="C58" s="189"/>
      <c r="D58" s="189"/>
      <c r="E58" s="36"/>
    </row>
    <row r="59" spans="2:5" ht="15.75">
      <c r="B59" s="196" t="s">
        <v>31</v>
      </c>
      <c r="C59" s="189"/>
      <c r="D59" s="189"/>
      <c r="E59" s="36"/>
    </row>
    <row r="60" spans="2:5" ht="15.75">
      <c r="B60" s="205" t="s">
        <v>237</v>
      </c>
      <c r="C60" s="189"/>
      <c r="D60" s="189"/>
      <c r="E60" s="821">
        <f>nhood!E10*-1</f>
        <v>0</v>
      </c>
    </row>
    <row r="61" spans="2:10" ht="15.75">
      <c r="B61" s="113" t="s">
        <v>236</v>
      </c>
      <c r="C61" s="189"/>
      <c r="D61" s="189"/>
      <c r="E61" s="36"/>
      <c r="G61" s="1040" t="str">
        <f>CONCATENATE("Desired Carryover Into ",E1+1,"")</f>
        <v>Desired Carryover Into 1</v>
      </c>
      <c r="H61" s="1030"/>
      <c r="I61" s="1030"/>
      <c r="J61" s="1031"/>
    </row>
    <row r="62" spans="2:10" ht="15.75">
      <c r="B62" s="188" t="s">
        <v>746</v>
      </c>
      <c r="C62" s="311">
        <f>IF(C63*0.1&lt;C61,"Exceed 10% Rule","")</f>
      </c>
      <c r="D62" s="311">
        <f>IF(D63*0.1&lt;D61,"Exceed 10% Rule","")</f>
      </c>
      <c r="E62" s="318">
        <f>IF(E63*0.1+E82&lt;E61,"Exceed 10% Rule","")</f>
      </c>
      <c r="G62" s="632"/>
      <c r="H62" s="619"/>
      <c r="I62" s="626"/>
      <c r="J62" s="633"/>
    </row>
    <row r="63" spans="2:10" ht="15.75">
      <c r="B63" s="198" t="s">
        <v>32</v>
      </c>
      <c r="C63" s="316">
        <f>SUM(C48:C61)</f>
        <v>0</v>
      </c>
      <c r="D63" s="316">
        <f>SUM(D48:D61)</f>
        <v>0</v>
      </c>
      <c r="E63" s="222">
        <f>SUM(E48:E61)</f>
        <v>0</v>
      </c>
      <c r="G63" s="631" t="s">
        <v>592</v>
      </c>
      <c r="H63" s="626"/>
      <c r="I63" s="626"/>
      <c r="J63" s="620">
        <v>0</v>
      </c>
    </row>
    <row r="64" spans="2:10" ht="15.75">
      <c r="B64" s="198" t="s">
        <v>33</v>
      </c>
      <c r="C64" s="316">
        <f>C46+C63</f>
        <v>0</v>
      </c>
      <c r="D64" s="316">
        <f>D46+D63</f>
        <v>0</v>
      </c>
      <c r="E64" s="222">
        <f>E46+E63</f>
        <v>0</v>
      </c>
      <c r="G64" s="632" t="s">
        <v>593</v>
      </c>
      <c r="H64" s="619"/>
      <c r="I64" s="619"/>
      <c r="J64" s="657">
        <f>IF(J63=0,"",ROUND((J63+E82-G76)/inputOth!E7*1000,3)-G81)</f>
      </c>
    </row>
    <row r="65" spans="2:10" ht="15.75">
      <c r="B65" s="105" t="s">
        <v>35</v>
      </c>
      <c r="C65" s="205"/>
      <c r="D65" s="205"/>
      <c r="E65" s="34"/>
      <c r="G65" s="655" t="str">
        <f>CONCATENATE("",E1," Tot Exp/Non-Appr Must Be:")</f>
        <v>0 Tot Exp/Non-Appr Must Be:</v>
      </c>
      <c r="H65" s="653"/>
      <c r="I65" s="654"/>
      <c r="J65" s="650">
        <f>IF(J63&gt;0,IF(E79&lt;E64,IF(J63=G76,E79,((J63-G76)*(1-D81))+E64),E79+(J63-G76)),0)</f>
        <v>0</v>
      </c>
    </row>
    <row r="66" spans="2:10" ht="15.75">
      <c r="B66" s="204"/>
      <c r="C66" s="189"/>
      <c r="D66" s="189"/>
      <c r="E66" s="36"/>
      <c r="G66" s="548" t="s">
        <v>763</v>
      </c>
      <c r="H66" s="660"/>
      <c r="I66" s="660"/>
      <c r="J66" s="656">
        <f>IF(J63&gt;0,J65-E79,0)</f>
        <v>0</v>
      </c>
    </row>
    <row r="67" spans="2:10" ht="15.75">
      <c r="B67" s="204"/>
      <c r="C67" s="189"/>
      <c r="D67" s="189"/>
      <c r="E67" s="36"/>
      <c r="J67" s="610"/>
    </row>
    <row r="68" spans="2:10" ht="15.75">
      <c r="B68" s="204"/>
      <c r="C68" s="189"/>
      <c r="D68" s="189"/>
      <c r="E68" s="36"/>
      <c r="G68" s="1040" t="str">
        <f>CONCATENATE("Projected Carryover Into ",E1+1,"")</f>
        <v>Projected Carryover Into 1</v>
      </c>
      <c r="H68" s="1046"/>
      <c r="I68" s="1046"/>
      <c r="J68" s="1045"/>
    </row>
    <row r="69" spans="2:10" ht="15.75">
      <c r="B69" s="204"/>
      <c r="C69" s="189"/>
      <c r="D69" s="189"/>
      <c r="E69" s="36"/>
      <c r="G69" s="621"/>
      <c r="H69" s="619"/>
      <c r="I69" s="619"/>
      <c r="J69" s="613"/>
    </row>
    <row r="70" spans="2:10" ht="15.75">
      <c r="B70" s="204"/>
      <c r="C70" s="189"/>
      <c r="D70" s="189"/>
      <c r="E70" s="36"/>
      <c r="G70" s="623">
        <f>D76</f>
        <v>0</v>
      </c>
      <c r="H70" s="624" t="str">
        <f>CONCATENATE("",E1-1," Ending Cash Balance (est.)")</f>
        <v>-1 Ending Cash Balance (est.)</v>
      </c>
      <c r="I70" s="625"/>
      <c r="J70" s="613"/>
    </row>
    <row r="71" spans="2:10" ht="15.75">
      <c r="B71" s="204"/>
      <c r="C71" s="189"/>
      <c r="D71" s="189"/>
      <c r="E71" s="36"/>
      <c r="G71" s="623">
        <f>E63</f>
        <v>0</v>
      </c>
      <c r="H71" s="626" t="str">
        <f>CONCATENATE("",E1," Non-AV Receipts (est.)")</f>
        <v>0 Non-AV Receipts (est.)</v>
      </c>
      <c r="I71" s="625"/>
      <c r="J71" s="613"/>
    </row>
    <row r="72" spans="2:11" ht="15.75">
      <c r="B72" s="205" t="str">
        <f>CONCATENATE("Cash Forward (",E1," column)")</f>
        <v>Cash Forward (0 column)</v>
      </c>
      <c r="C72" s="189"/>
      <c r="D72" s="189"/>
      <c r="E72" s="36"/>
      <c r="G72" s="627">
        <f>IF(D81&gt;0,E80,E82)</f>
        <v>0</v>
      </c>
      <c r="H72" s="626" t="str">
        <f>CONCATENATE("",E1," Ad Valorem Tax (est.)")</f>
        <v>0 Ad Valorem Tax (est.)</v>
      </c>
      <c r="I72" s="625"/>
      <c r="J72" s="613"/>
      <c r="K72" s="551">
        <f>IF(G72=E82,"","Note: Does not include Delinquent Taxes")</f>
      </c>
    </row>
    <row r="73" spans="2:10" ht="15.75">
      <c r="B73" s="205" t="s">
        <v>236</v>
      </c>
      <c r="C73" s="189"/>
      <c r="D73" s="189"/>
      <c r="E73" s="36"/>
      <c r="G73" s="634">
        <f>SUM(G70:G72)</f>
        <v>0</v>
      </c>
      <c r="H73" s="626" t="str">
        <f>CONCATENATE("Total ",E1," Resources Available")</f>
        <v>Total 0 Resources Available</v>
      </c>
      <c r="I73" s="622"/>
      <c r="J73" s="613"/>
    </row>
    <row r="74" spans="2:10" ht="15.75">
      <c r="B74" s="205" t="s">
        <v>747</v>
      </c>
      <c r="C74" s="311">
        <f>IF(C75*0.1&lt;C73,"Exceed 10% Rule","")</f>
      </c>
      <c r="D74" s="311">
        <f>IF(D75*0.1&lt;D73,"Exceed 10% Rule","")</f>
      </c>
      <c r="E74" s="318">
        <f>IF(E75*0.1&lt;E73,"Exceed 10% Rule","")</f>
      </c>
      <c r="G74" s="637"/>
      <c r="H74" s="635"/>
      <c r="I74" s="619"/>
      <c r="J74" s="613"/>
    </row>
    <row r="75" spans="2:10" ht="15.75">
      <c r="B75" s="198" t="s">
        <v>39</v>
      </c>
      <c r="C75" s="316">
        <f>SUM(C66:C73)</f>
        <v>0</v>
      </c>
      <c r="D75" s="316">
        <f>SUM(D66:D73)</f>
        <v>0</v>
      </c>
      <c r="E75" s="222">
        <f>SUM(E66:E73)</f>
        <v>0</v>
      </c>
      <c r="G75" s="636">
        <f>ROUND(C75*0.05+C75,0)</f>
        <v>0</v>
      </c>
      <c r="H75" s="635" t="str">
        <f>CONCATENATE("Less ",E1-2," Expenditures + 5%")</f>
        <v>Less -2 Expenditures + 5%</v>
      </c>
      <c r="I75" s="622"/>
      <c r="J75" s="613"/>
    </row>
    <row r="76" spans="2:10" ht="15.75">
      <c r="B76" s="105" t="s">
        <v>134</v>
      </c>
      <c r="C76" s="313">
        <f>C64-C75</f>
        <v>0</v>
      </c>
      <c r="D76" s="313">
        <f>D64-D75</f>
        <v>0</v>
      </c>
      <c r="E76" s="217" t="s">
        <v>13</v>
      </c>
      <c r="G76" s="638">
        <f>G73-G75</f>
        <v>0</v>
      </c>
      <c r="H76" s="639" t="str">
        <f>CONCATENATE("Projected ",E1+1," carryover (est.)")</f>
        <v>Projected 1 carryover (est.)</v>
      </c>
      <c r="I76" s="630"/>
      <c r="J76" s="667"/>
    </row>
    <row r="77" spans="2:9" ht="15.75">
      <c r="B77" s="122" t="str">
        <f>CONCATENATE("",E1-2,"/",E1-1,"/",E1," Budget Authority Amount:")</f>
        <v>-2/-1/0 Budget Authority Amount:</v>
      </c>
      <c r="C77" s="478">
        <f>inputOth!B68</f>
        <v>0</v>
      </c>
      <c r="D77" s="685">
        <f>inputPrYr!D27</f>
        <v>0</v>
      </c>
      <c r="E77" s="158">
        <f>E75</f>
        <v>0</v>
      </c>
      <c r="G77" s="610"/>
      <c r="H77" s="610"/>
      <c r="I77" s="610"/>
    </row>
    <row r="78" spans="2:10" ht="15.75">
      <c r="B78" s="93"/>
      <c r="C78" s="1025" t="s">
        <v>584</v>
      </c>
      <c r="D78" s="1026"/>
      <c r="E78" s="36"/>
      <c r="G78" s="1032" t="s">
        <v>819</v>
      </c>
      <c r="H78" s="1033"/>
      <c r="I78" s="1033"/>
      <c r="J78" s="1034"/>
    </row>
    <row r="79" spans="2:10" ht="15.75">
      <c r="B79" s="334" t="str">
        <f>CONCATENATE(C101,"     ",D101)</f>
        <v>     </v>
      </c>
      <c r="C79" s="1027" t="s">
        <v>585</v>
      </c>
      <c r="D79" s="1028"/>
      <c r="E79" s="158">
        <f>E75+E78</f>
        <v>0</v>
      </c>
      <c r="F79" s="207"/>
      <c r="G79" s="662"/>
      <c r="H79" s="624"/>
      <c r="I79" s="651"/>
      <c r="J79" s="652"/>
    </row>
    <row r="80" spans="2:10" ht="15.75">
      <c r="B80" s="334" t="str">
        <f>CONCATENATE(C102,"     ",D102)</f>
        <v>     </v>
      </c>
      <c r="C80" s="208"/>
      <c r="D80" s="120" t="s">
        <v>40</v>
      </c>
      <c r="E80" s="158">
        <f>IF(E79-E64&gt;0,E79-E64,0)</f>
        <v>0</v>
      </c>
      <c r="F80" s="680">
        <f>IF(E75/0.95-E75&lt;E78,"Exceeds 5%","")</f>
      </c>
      <c r="G80" s="664" t="str">
        <f>summ!H20</f>
        <v>  </v>
      </c>
      <c r="H80" s="624" t="str">
        <f>CONCATENATE("",E1," Fund Mill Rate")</f>
        <v>0 Fund Mill Rate</v>
      </c>
      <c r="I80" s="651"/>
      <c r="J80" s="652"/>
    </row>
    <row r="81" spans="2:10" ht="15.75">
      <c r="B81" s="93"/>
      <c r="C81" s="320" t="s">
        <v>586</v>
      </c>
      <c r="D81" s="550">
        <f>inputOth!E50</f>
        <v>0</v>
      </c>
      <c r="E81" s="158">
        <f>ROUND(IF(D81&gt;0,(E80*D81),0),0)</f>
        <v>0</v>
      </c>
      <c r="G81" s="663" t="str">
        <f>summ!E20</f>
        <v>  </v>
      </c>
      <c r="H81" s="624" t="str">
        <f>CONCATENATE("",E1-1," Fund Mill Rate")</f>
        <v>-1 Fund Mill Rate</v>
      </c>
      <c r="I81" s="651"/>
      <c r="J81" s="652"/>
    </row>
    <row r="82" spans="2:10" ht="16.5" thickBot="1">
      <c r="B82" s="120"/>
      <c r="C82" s="1018" t="str">
        <f>CONCATENATE("Amount of  ",$E$1-1," Ad Valorem Tax")</f>
        <v>Amount of  -1 Ad Valorem Tax</v>
      </c>
      <c r="D82" s="1029"/>
      <c r="E82" s="223">
        <f>E80+E81</f>
        <v>0</v>
      </c>
      <c r="G82" s="665">
        <f>summ!H43</f>
        <v>0</v>
      </c>
      <c r="H82" s="624" t="str">
        <f>CONCATENATE("Total ",E1," Mill Rate")</f>
        <v>Total 0 Mill Rate</v>
      </c>
      <c r="I82" s="651"/>
      <c r="J82" s="652"/>
    </row>
    <row r="83" spans="2:10" ht="16.5" thickTop="1">
      <c r="B83" s="120"/>
      <c r="C83" s="1043"/>
      <c r="D83" s="1043"/>
      <c r="E83" s="120"/>
      <c r="G83" s="663">
        <f>summ!E43</f>
        <v>0</v>
      </c>
      <c r="H83" s="647" t="str">
        <f>CONCATENATE("Total ",E1-1," Mill Rate")</f>
        <v>Total -1 Mill Rate</v>
      </c>
      <c r="I83" s="648"/>
      <c r="J83" s="649"/>
    </row>
    <row r="84" spans="2:5" ht="15.75">
      <c r="B84" s="960" t="s">
        <v>999</v>
      </c>
      <c r="C84" s="841"/>
      <c r="D84" s="841"/>
      <c r="E84" s="844"/>
    </row>
    <row r="85" spans="2:10" ht="15.75">
      <c r="B85" s="845"/>
      <c r="C85" s="321"/>
      <c r="D85" s="321"/>
      <c r="E85" s="791"/>
      <c r="G85" s="776"/>
      <c r="H85" s="793"/>
      <c r="I85" s="775"/>
      <c r="J85" s="792"/>
    </row>
    <row r="86" spans="2:10" ht="15.75">
      <c r="B86" s="846"/>
      <c r="C86" s="839"/>
      <c r="D86" s="847"/>
      <c r="E86" s="848"/>
      <c r="G86" s="765" t="str">
        <f>CONCATENATE("Computed ",E1," tax levy limit amount")</f>
        <v>Computed 0 tax levy limit amount</v>
      </c>
      <c r="H86" s="764"/>
      <c r="I86" s="764"/>
      <c r="J86" s="772">
        <f>Comp1!J47</f>
        <v>0</v>
      </c>
    </row>
    <row r="87" spans="2:10" ht="15.75">
      <c r="B87" s="93" t="s">
        <v>42</v>
      </c>
      <c r="C87" s="711"/>
      <c r="D87" s="16"/>
      <c r="E87" s="16"/>
      <c r="G87" s="763" t="str">
        <f>CONCATENATE("Total ",E1," tax levy amount")</f>
        <v>Total 0 tax levy amount</v>
      </c>
      <c r="H87" s="762"/>
      <c r="I87" s="762"/>
      <c r="J87" s="770">
        <f>summ!G43</f>
        <v>0</v>
      </c>
    </row>
    <row r="88" ht="15.75">
      <c r="B88" s="319"/>
    </row>
    <row r="89" ht="15.75">
      <c r="B89" s="3"/>
    </row>
    <row r="99" spans="3:4" ht="15.75" hidden="1">
      <c r="C99" s="335">
        <f>IF(C33&gt;C35,"See Tab A","")</f>
      </c>
      <c r="D99" s="335">
        <f>IF(D33&gt;D35,"See Tab C","")</f>
      </c>
    </row>
    <row r="100" spans="3:4" ht="15.75" hidden="1">
      <c r="C100" s="335">
        <f>IF(C34&lt;0,"See Tab B","")</f>
      </c>
      <c r="D100" s="335">
        <f>IF(D34&lt;0,"See Tab D","")</f>
      </c>
    </row>
    <row r="101" spans="3:4" ht="15.75" hidden="1">
      <c r="C101" s="335">
        <f>IF(C75&gt;C77,"See Tab A","")</f>
      </c>
      <c r="D101" s="335">
        <f>IF(D75&gt;D77,"See Tab C","")</f>
      </c>
    </row>
    <row r="102" spans="3:4" ht="15.75" hidden="1">
      <c r="C102" s="335">
        <f>IF(C76&lt;0,"See Tab B","")</f>
      </c>
      <c r="D102" s="335">
        <f>IF(D76&lt;0,"See Tab D","")</f>
      </c>
    </row>
  </sheetData>
  <sheetProtection/>
  <mergeCells count="14">
    <mergeCell ref="G19:J19"/>
    <mergeCell ref="G26:J26"/>
    <mergeCell ref="G36:J36"/>
    <mergeCell ref="G61:J61"/>
    <mergeCell ref="G68:J68"/>
    <mergeCell ref="G78:J78"/>
    <mergeCell ref="C83:D83"/>
    <mergeCell ref="C41:D41"/>
    <mergeCell ref="C78:D78"/>
    <mergeCell ref="C79:D79"/>
    <mergeCell ref="C36:D36"/>
    <mergeCell ref="C37:D37"/>
    <mergeCell ref="C82:D82"/>
    <mergeCell ref="C40:D40"/>
  </mergeCells>
  <conditionalFormatting sqref="E73">
    <cfRule type="cellIs" priority="4" dxfId="260" operator="greaterThan" stopIfTrue="1">
      <formula>$E$75*0.1</formula>
    </cfRule>
  </conditionalFormatting>
  <conditionalFormatting sqref="E78">
    <cfRule type="cellIs" priority="5" dxfId="260" operator="greaterThan" stopIfTrue="1">
      <formula>$E$75/0.95-$E$75</formula>
    </cfRule>
  </conditionalFormatting>
  <conditionalFormatting sqref="E31">
    <cfRule type="cellIs" priority="6" dxfId="260" operator="greaterThan" stopIfTrue="1">
      <formula>$E$33*0.1</formula>
    </cfRule>
  </conditionalFormatting>
  <conditionalFormatting sqref="D33">
    <cfRule type="cellIs" priority="8" dxfId="0" operator="greaterThan" stopIfTrue="1">
      <formula>$D$35</formula>
    </cfRule>
  </conditionalFormatting>
  <conditionalFormatting sqref="C33">
    <cfRule type="cellIs" priority="9" dxfId="0" operator="greaterThan" stopIfTrue="1">
      <formula>$C$35</formula>
    </cfRule>
  </conditionalFormatting>
  <conditionalFormatting sqref="C34 C76">
    <cfRule type="cellIs" priority="10" dxfId="0" operator="lessThan" stopIfTrue="1">
      <formula>0</formula>
    </cfRule>
  </conditionalFormatting>
  <conditionalFormatting sqref="D75">
    <cfRule type="cellIs" priority="11" dxfId="0" operator="greaterThan" stopIfTrue="1">
      <formula>$D$77</formula>
    </cfRule>
  </conditionalFormatting>
  <conditionalFormatting sqref="C75">
    <cfRule type="cellIs" priority="12" dxfId="0" operator="greaterThan" stopIfTrue="1">
      <formula>$C$77</formula>
    </cfRule>
  </conditionalFormatting>
  <conditionalFormatting sqref="C31">
    <cfRule type="cellIs" priority="13" dxfId="0" operator="greaterThan" stopIfTrue="1">
      <formula>$C$33*0.1</formula>
    </cfRule>
  </conditionalFormatting>
  <conditionalFormatting sqref="D31">
    <cfRule type="cellIs" priority="14" dxfId="0" operator="greaterThan" stopIfTrue="1">
      <formula>$D$33*0.1</formula>
    </cfRule>
  </conditionalFormatting>
  <conditionalFormatting sqref="C73">
    <cfRule type="cellIs" priority="15" dxfId="0" operator="greaterThan" stopIfTrue="1">
      <formula>$C$75*0.1</formula>
    </cfRule>
  </conditionalFormatting>
  <conditionalFormatting sqref="D73">
    <cfRule type="cellIs" priority="16" dxfId="0" operator="greaterThan" stopIfTrue="1">
      <formula>$D$75*0.1</formula>
    </cfRule>
  </conditionalFormatting>
  <conditionalFormatting sqref="D19">
    <cfRule type="cellIs" priority="17" dxfId="0" operator="greaterThan" stopIfTrue="1">
      <formula>$D$21*0.1</formula>
    </cfRule>
  </conditionalFormatting>
  <conditionalFormatting sqref="C19">
    <cfRule type="cellIs" priority="18" dxfId="0" operator="greaterThan" stopIfTrue="1">
      <formula>$C$21*0.1</formula>
    </cfRule>
  </conditionalFormatting>
  <conditionalFormatting sqref="D61">
    <cfRule type="cellIs" priority="19" dxfId="0" operator="greaterThan" stopIfTrue="1">
      <formula>$D$63*0.1</formula>
    </cfRule>
  </conditionalFormatting>
  <conditionalFormatting sqref="C61">
    <cfRule type="cellIs" priority="20" dxfId="0" operator="greaterThan" stopIfTrue="1">
      <formula>$C$63*0.1</formula>
    </cfRule>
  </conditionalFormatting>
  <conditionalFormatting sqref="E61">
    <cfRule type="cellIs" priority="21" dxfId="260" operator="greaterThan" stopIfTrue="1">
      <formula>$E$63*0.1+E82</formula>
    </cfRule>
  </conditionalFormatting>
  <conditionalFormatting sqref="E19">
    <cfRule type="cellIs" priority="22" dxfId="260" operator="greaterThan" stopIfTrue="1">
      <formula>$E$21*0.1+E40</formula>
    </cfRule>
  </conditionalFormatting>
  <conditionalFormatting sqref="D76 D34">
    <cfRule type="cellIs" priority="3" dxfId="1" operator="lessThan" stopIfTrue="1">
      <formula>0</formula>
    </cfRule>
  </conditionalFormatting>
  <conditionalFormatting sqref="E36">
    <cfRule type="cellIs" priority="1" dxfId="260" operator="greaterThan" stopIfTrue="1">
      <formula>$E$33/0.95-$E$33</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8"/>
  <sheetViews>
    <sheetView zoomScale="90" zoomScaleNormal="90" zoomScalePageLayoutView="0" workbookViewId="0" topLeftCell="A1">
      <selection activeCell="E95" sqref="E95"/>
    </sheetView>
  </sheetViews>
  <sheetFormatPr defaultColWidth="8.796875" defaultRowHeight="15"/>
  <cols>
    <col min="1" max="1" width="15.796875" style="17" customWidth="1"/>
    <col min="2" max="2" width="21.09765625" style="17" customWidth="1"/>
    <col min="3" max="3" width="9.796875" style="17" customWidth="1"/>
    <col min="4" max="4" width="15.09765625" style="17" customWidth="1"/>
    <col min="5" max="5" width="15.796875" style="17" customWidth="1"/>
    <col min="6" max="6" width="1.8984375" style="17" customWidth="1"/>
    <col min="7" max="7" width="18.69921875" style="17" customWidth="1"/>
    <col min="8" max="16384" width="8.8984375" style="17" customWidth="1"/>
  </cols>
  <sheetData>
    <row r="1" spans="1:5" ht="15.75">
      <c r="A1" s="968" t="s">
        <v>959</v>
      </c>
      <c r="B1" s="969"/>
      <c r="C1" s="969"/>
      <c r="D1" s="969"/>
      <c r="E1" s="969"/>
    </row>
    <row r="2" spans="1:5" ht="15.75">
      <c r="A2" s="15"/>
      <c r="B2" s="16"/>
      <c r="C2" s="16"/>
      <c r="D2" s="16"/>
      <c r="E2" s="16"/>
    </row>
    <row r="3" spans="1:5" ht="15.75">
      <c r="A3" s="738" t="s">
        <v>960</v>
      </c>
      <c r="B3" s="16"/>
      <c r="C3" s="16"/>
      <c r="D3" s="696"/>
      <c r="E3" s="697"/>
    </row>
    <row r="4" spans="1:5" ht="15.75">
      <c r="A4" s="738" t="s">
        <v>961</v>
      </c>
      <c r="B4" s="16"/>
      <c r="C4" s="16"/>
      <c r="D4" s="696"/>
      <c r="E4" s="697"/>
    </row>
    <row r="5" spans="1:5" ht="15.75">
      <c r="A5" s="739"/>
      <c r="B5" s="16"/>
      <c r="C5" s="16"/>
      <c r="D5" s="20"/>
      <c r="E5" s="16"/>
    </row>
    <row r="6" spans="1:5" ht="15.75">
      <c r="A6" s="738" t="s">
        <v>962</v>
      </c>
      <c r="B6" s="16"/>
      <c r="C6" s="21"/>
      <c r="D6" s="20"/>
      <c r="E6" s="16"/>
    </row>
    <row r="7" spans="1:5" ht="15.75">
      <c r="A7" s="738"/>
      <c r="B7" s="16"/>
      <c r="C7" s="16"/>
      <c r="D7" s="20"/>
      <c r="E7" s="16"/>
    </row>
    <row r="8" spans="1:5" ht="15.75">
      <c r="A8" s="738" t="s">
        <v>1002</v>
      </c>
      <c r="B8" s="16"/>
      <c r="C8" s="873"/>
      <c r="D8" s="20"/>
      <c r="E8" s="16"/>
    </row>
    <row r="9" spans="1:5" ht="15.75">
      <c r="A9" s="738"/>
      <c r="B9" s="16"/>
      <c r="C9" s="16"/>
      <c r="D9" s="20"/>
      <c r="E9" s="16"/>
    </row>
    <row r="10" spans="1:5" ht="15.75">
      <c r="A10" s="738" t="s">
        <v>1003</v>
      </c>
      <c r="B10" s="16"/>
      <c r="C10" s="873"/>
      <c r="D10" s="20"/>
      <c r="E10" s="16"/>
    </row>
    <row r="11" spans="1:5" ht="15.75">
      <c r="A11" s="16"/>
      <c r="B11" s="16"/>
      <c r="C11" s="16"/>
      <c r="D11" s="16"/>
      <c r="E11" s="16"/>
    </row>
    <row r="12" spans="1:5" ht="15.75">
      <c r="A12" s="970" t="s">
        <v>963</v>
      </c>
      <c r="B12" s="970"/>
      <c r="C12" s="970"/>
      <c r="D12" s="970"/>
      <c r="E12" s="970"/>
    </row>
    <row r="13" spans="1:8" ht="15.75" customHeight="1">
      <c r="A13" s="970"/>
      <c r="B13" s="970"/>
      <c r="C13" s="970"/>
      <c r="D13" s="970"/>
      <c r="E13" s="970"/>
      <c r="F13" s="510"/>
      <c r="G13" s="971" t="s">
        <v>965</v>
      </c>
      <c r="H13" s="972"/>
    </row>
    <row r="14" spans="1:8" ht="15.75">
      <c r="A14" s="970"/>
      <c r="B14" s="970"/>
      <c r="C14" s="970"/>
      <c r="D14" s="970"/>
      <c r="E14" s="970"/>
      <c r="F14" s="510"/>
      <c r="G14" s="973"/>
      <c r="H14" s="974"/>
    </row>
    <row r="15" spans="1:8" ht="15.75">
      <c r="A15" s="966" t="s">
        <v>964</v>
      </c>
      <c r="B15" s="967"/>
      <c r="C15" s="967"/>
      <c r="D15" s="967"/>
      <c r="E15" s="967"/>
      <c r="F15" s="510"/>
      <c r="G15" s="973"/>
      <c r="H15" s="974"/>
    </row>
    <row r="16" spans="1:8" ht="15.75">
      <c r="A16" s="25"/>
      <c r="B16" s="25"/>
      <c r="C16" s="25"/>
      <c r="D16" s="25"/>
      <c r="E16" s="25"/>
      <c r="F16" s="510"/>
      <c r="G16" s="973"/>
      <c r="H16" s="974"/>
    </row>
    <row r="17" spans="1:8" ht="15.75">
      <c r="A17" s="744" t="s">
        <v>215</v>
      </c>
      <c r="B17" s="743"/>
      <c r="C17" s="16"/>
      <c r="D17" s="16"/>
      <c r="E17" s="16"/>
      <c r="F17" s="510"/>
      <c r="G17" s="973"/>
      <c r="H17" s="974"/>
    </row>
    <row r="18" spans="1:8" ht="15.75">
      <c r="A18" s="742" t="str">
        <f>CONCATENATE("the ",C6-1," Budget, Certificate Page:")</f>
        <v>the -1 Budget, Certificate Page:</v>
      </c>
      <c r="B18" s="741"/>
      <c r="C18" s="26"/>
      <c r="D18" s="16"/>
      <c r="E18" s="16"/>
      <c r="F18" s="510"/>
      <c r="G18" s="973"/>
      <c r="H18" s="974"/>
    </row>
    <row r="19" spans="1:8" ht="15.75">
      <c r="A19" s="740" t="s">
        <v>313</v>
      </c>
      <c r="B19" s="715"/>
      <c r="C19" s="26"/>
      <c r="D19" s="16"/>
      <c r="E19" s="16"/>
      <c r="F19" s="510"/>
      <c r="G19" s="975"/>
      <c r="H19" s="976"/>
    </row>
    <row r="20" spans="1:8" ht="15.75">
      <c r="A20" s="27"/>
      <c r="B20" s="16"/>
      <c r="C20" s="16"/>
      <c r="D20" s="28">
        <f>C6-1</f>
        <v>-1</v>
      </c>
      <c r="E20" s="29">
        <f>$C$6-2</f>
        <v>-2</v>
      </c>
      <c r="F20" s="746"/>
      <c r="G20" s="523" t="s">
        <v>755</v>
      </c>
      <c r="H20" s="111" t="s">
        <v>41</v>
      </c>
    </row>
    <row r="21" spans="1:8" ht="15.75">
      <c r="A21" s="19" t="s">
        <v>298</v>
      </c>
      <c r="B21" s="16"/>
      <c r="C21" s="30" t="s">
        <v>299</v>
      </c>
      <c r="D21" s="31" t="s">
        <v>312</v>
      </c>
      <c r="E21" s="32" t="s">
        <v>295</v>
      </c>
      <c r="F21" s="746"/>
      <c r="G21" s="524" t="str">
        <f>CONCATENATE("",E20," Ad Valorem Tax")</f>
        <v>-2 Ad Valorem Tax</v>
      </c>
      <c r="H21" s="679">
        <v>0</v>
      </c>
    </row>
    <row r="22" spans="1:7" ht="15.75">
      <c r="A22" s="16"/>
      <c r="B22" s="33" t="s">
        <v>300</v>
      </c>
      <c r="C22" s="111" t="s">
        <v>136</v>
      </c>
      <c r="D22" s="35"/>
      <c r="E22" s="36"/>
      <c r="F22" s="746"/>
      <c r="G22" s="522">
        <f>IF(H21&gt;0,ROUND(E22-(E22*H$21),0),0)</f>
        <v>0</v>
      </c>
    </row>
    <row r="23" spans="1:7" ht="15.75">
      <c r="A23" s="16"/>
      <c r="B23" s="33" t="s">
        <v>269</v>
      </c>
      <c r="C23" s="111" t="s">
        <v>151</v>
      </c>
      <c r="D23" s="35"/>
      <c r="E23" s="36"/>
      <c r="F23" s="746"/>
      <c r="G23" s="522">
        <f>IF(H21&gt;0,ROUND(E23-(E23*H21),0),0)</f>
        <v>0</v>
      </c>
    </row>
    <row r="24" spans="1:7" ht="15.75">
      <c r="A24" s="16"/>
      <c r="B24" s="33" t="s">
        <v>754</v>
      </c>
      <c r="C24" s="111" t="s">
        <v>753</v>
      </c>
      <c r="D24" s="35"/>
      <c r="E24" s="36"/>
      <c r="F24" s="746"/>
      <c r="G24" s="522">
        <f>IF(H$21&gt;0,ROUND(E24-(E24*H$21),0),0)</f>
        <v>0</v>
      </c>
    </row>
    <row r="25" spans="1:7" ht="15.75">
      <c r="A25" s="19" t="s">
        <v>214</v>
      </c>
      <c r="B25" s="16"/>
      <c r="C25" s="16"/>
      <c r="D25" s="37"/>
      <c r="E25" s="38"/>
      <c r="F25" s="746"/>
      <c r="G25" s="38"/>
    </row>
    <row r="26" spans="1:7" ht="15.75">
      <c r="A26" s="16"/>
      <c r="B26" s="611"/>
      <c r="C26" s="348"/>
      <c r="D26" s="36"/>
      <c r="E26" s="36"/>
      <c r="F26" s="746"/>
      <c r="G26" s="522">
        <f aca="true" t="shared" si="0" ref="G26:G35">IF(H$21&gt;0,ROUND(E26-(E26*H$21),0),0)</f>
        <v>0</v>
      </c>
    </row>
    <row r="27" spans="1:7" ht="15.75">
      <c r="A27" s="16"/>
      <c r="B27" s="39"/>
      <c r="C27" s="349"/>
      <c r="D27" s="36"/>
      <c r="E27" s="36"/>
      <c r="F27" s="746"/>
      <c r="G27" s="522">
        <f t="shared" si="0"/>
        <v>0</v>
      </c>
    </row>
    <row r="28" spans="1:7" ht="15.75">
      <c r="A28" s="16"/>
      <c r="B28" s="39"/>
      <c r="C28" s="349"/>
      <c r="D28" s="36"/>
      <c r="E28" s="36"/>
      <c r="F28" s="746"/>
      <c r="G28" s="522">
        <f t="shared" si="0"/>
        <v>0</v>
      </c>
    </row>
    <row r="29" spans="1:7" ht="15.75">
      <c r="A29" s="16"/>
      <c r="B29" s="39"/>
      <c r="C29" s="349"/>
      <c r="D29" s="36"/>
      <c r="E29" s="36"/>
      <c r="F29" s="746"/>
      <c r="G29" s="522">
        <f t="shared" si="0"/>
        <v>0</v>
      </c>
    </row>
    <row r="30" spans="1:7" ht="15.75">
      <c r="A30" s="16"/>
      <c r="B30" s="39"/>
      <c r="C30" s="349"/>
      <c r="D30" s="36"/>
      <c r="E30" s="36"/>
      <c r="F30" s="746"/>
      <c r="G30" s="522">
        <f t="shared" si="0"/>
        <v>0</v>
      </c>
    </row>
    <row r="31" spans="1:7" ht="15.75">
      <c r="A31" s="16"/>
      <c r="B31" s="39"/>
      <c r="C31" s="349"/>
      <c r="D31" s="36"/>
      <c r="E31" s="36"/>
      <c r="F31" s="746"/>
      <c r="G31" s="522">
        <f t="shared" si="0"/>
        <v>0</v>
      </c>
    </row>
    <row r="32" spans="1:7" ht="15.75">
      <c r="A32" s="16"/>
      <c r="B32" s="39"/>
      <c r="C32" s="349"/>
      <c r="D32" s="36"/>
      <c r="E32" s="36"/>
      <c r="F32" s="746"/>
      <c r="G32" s="522">
        <f t="shared" si="0"/>
        <v>0</v>
      </c>
    </row>
    <row r="33" spans="1:7" ht="15.75">
      <c r="A33" s="16"/>
      <c r="B33" s="39"/>
      <c r="C33" s="349"/>
      <c r="D33" s="36"/>
      <c r="E33" s="36"/>
      <c r="F33" s="746"/>
      <c r="G33" s="522">
        <f t="shared" si="0"/>
        <v>0</v>
      </c>
    </row>
    <row r="34" spans="1:7" ht="15.75">
      <c r="A34" s="16"/>
      <c r="B34" s="39"/>
      <c r="C34" s="349"/>
      <c r="D34" s="36"/>
      <c r="E34" s="36"/>
      <c r="F34" s="746"/>
      <c r="G34" s="522">
        <f t="shared" si="0"/>
        <v>0</v>
      </c>
    </row>
    <row r="35" spans="1:7" ht="15.75">
      <c r="A35" s="16"/>
      <c r="B35" s="39"/>
      <c r="C35" s="349"/>
      <c r="D35" s="36"/>
      <c r="E35" s="36"/>
      <c r="F35" s="746"/>
      <c r="G35" s="522">
        <f t="shared" si="0"/>
        <v>0</v>
      </c>
    </row>
    <row r="36" spans="1:5" ht="15.75">
      <c r="A36" s="40" t="str">
        <f>CONCATENATE("Total Tax Levy Funds for ",C6-1," Budgeted Year")</f>
        <v>Total Tax Levy Funds for -1 Budgeted Year</v>
      </c>
      <c r="B36" s="41"/>
      <c r="C36" s="41"/>
      <c r="D36" s="42"/>
      <c r="E36" s="43">
        <f>SUM(E22:E35)</f>
        <v>0</v>
      </c>
    </row>
    <row r="37" spans="1:5" ht="15.75">
      <c r="A37" s="19"/>
      <c r="B37" s="16"/>
      <c r="C37" s="16"/>
      <c r="D37" s="44"/>
      <c r="E37" s="38"/>
    </row>
    <row r="38" spans="1:5" ht="15.75">
      <c r="A38" s="19" t="s">
        <v>152</v>
      </c>
      <c r="B38" s="16"/>
      <c r="C38" s="16"/>
      <c r="D38" s="16"/>
      <c r="E38" s="16"/>
    </row>
    <row r="39" spans="1:5" ht="15.75">
      <c r="A39" s="16"/>
      <c r="B39" s="45" t="s">
        <v>124</v>
      </c>
      <c r="C39" s="46"/>
      <c r="D39" s="35"/>
      <c r="E39" s="46"/>
    </row>
    <row r="40" spans="1:5" ht="15.75">
      <c r="A40" s="16"/>
      <c r="B40" s="612"/>
      <c r="C40" s="46"/>
      <c r="D40" s="35"/>
      <c r="E40" s="46"/>
    </row>
    <row r="41" spans="1:5" ht="15.75">
      <c r="A41" s="16"/>
      <c r="B41" s="612"/>
      <c r="C41" s="46"/>
      <c r="D41" s="35"/>
      <c r="E41" s="46"/>
    </row>
    <row r="42" spans="1:5" ht="15.75">
      <c r="A42" s="16"/>
      <c r="B42" s="612"/>
      <c r="C42" s="46"/>
      <c r="D42" s="35"/>
      <c r="E42" s="46"/>
    </row>
    <row r="43" spans="1:5" ht="15.75">
      <c r="A43" s="16"/>
      <c r="B43" s="612"/>
      <c r="C43" s="46"/>
      <c r="D43" s="35"/>
      <c r="E43" s="46"/>
    </row>
    <row r="44" spans="1:5" ht="15.75">
      <c r="A44" s="16"/>
      <c r="B44" s="612"/>
      <c r="C44" s="46"/>
      <c r="D44" s="35"/>
      <c r="E44" s="46"/>
    </row>
    <row r="45" spans="1:5" ht="15.75">
      <c r="A45" s="47"/>
      <c r="B45" s="611"/>
      <c r="C45" s="48"/>
      <c r="D45" s="35"/>
      <c r="E45" s="49"/>
    </row>
    <row r="46" spans="1:5" ht="15.75">
      <c r="A46" s="47"/>
      <c r="B46" s="611"/>
      <c r="C46" s="46"/>
      <c r="D46" s="35"/>
      <c r="E46" s="49"/>
    </row>
    <row r="47" spans="1:5" ht="15.75">
      <c r="A47" s="47"/>
      <c r="B47" s="49"/>
      <c r="C47" s="46"/>
      <c r="D47" s="49"/>
      <c r="E47" s="49"/>
    </row>
    <row r="48" spans="1:5" ht="15.75">
      <c r="A48" s="47" t="s">
        <v>193</v>
      </c>
      <c r="B48" s="46"/>
      <c r="C48" s="46"/>
      <c r="D48" s="46"/>
      <c r="E48" s="49"/>
    </row>
    <row r="49" spans="1:5" ht="15.75">
      <c r="A49" s="50">
        <v>1</v>
      </c>
      <c r="B49" s="611"/>
      <c r="C49" s="46"/>
      <c r="D49" s="35"/>
      <c r="E49" s="49"/>
    </row>
    <row r="50" spans="1:5" ht="15.75">
      <c r="A50" s="50">
        <v>2</v>
      </c>
      <c r="B50" s="611"/>
      <c r="C50" s="46"/>
      <c r="D50" s="35"/>
      <c r="E50" s="49"/>
    </row>
    <row r="51" spans="1:5" ht="15.75">
      <c r="A51" s="50">
        <v>3</v>
      </c>
      <c r="B51" s="611"/>
      <c r="C51" s="46"/>
      <c r="D51" s="35"/>
      <c r="E51" s="49"/>
    </row>
    <row r="52" spans="1:5" ht="15.75">
      <c r="A52" s="50">
        <v>4</v>
      </c>
      <c r="B52" s="611"/>
      <c r="C52" s="46"/>
      <c r="D52" s="35"/>
      <c r="E52" s="49"/>
    </row>
    <row r="53" spans="1:5" ht="15.75">
      <c r="A53" s="40" t="str">
        <f>CONCATENATE("Total Expenditures for ",C6-1," Budgeted Year")</f>
        <v>Total Expenditures for -1 Budgeted Year</v>
      </c>
      <c r="B53" s="41"/>
      <c r="C53" s="41"/>
      <c r="D53" s="43">
        <f>SUM(D22:D24,D26:D35,D39:D46,D49:D52)</f>
        <v>0</v>
      </c>
      <c r="E53" s="16"/>
    </row>
    <row r="54" spans="1:5" ht="15.75">
      <c r="A54" s="47"/>
      <c r="B54" s="46"/>
      <c r="C54" s="46"/>
      <c r="D54" s="16"/>
      <c r="E54" s="16"/>
    </row>
    <row r="55" spans="1:5" ht="15.75">
      <c r="A55" s="47" t="s">
        <v>194</v>
      </c>
      <c r="B55" s="46"/>
      <c r="C55" s="46"/>
      <c r="D55" s="46"/>
      <c r="E55" s="16"/>
    </row>
    <row r="56" spans="1:5" ht="15.75">
      <c r="A56" s="50">
        <v>1</v>
      </c>
      <c r="B56" s="611"/>
      <c r="C56" s="46"/>
      <c r="D56" s="46"/>
      <c r="E56" s="16"/>
    </row>
    <row r="57" spans="1:5" ht="15.75">
      <c r="A57" s="50">
        <v>2</v>
      </c>
      <c r="B57" s="611"/>
      <c r="C57" s="46"/>
      <c r="D57" s="46"/>
      <c r="E57" s="16"/>
    </row>
    <row r="58" spans="1:5" ht="15.75">
      <c r="A58" s="50">
        <v>3</v>
      </c>
      <c r="B58" s="611"/>
      <c r="C58" s="46"/>
      <c r="D58" s="46"/>
      <c r="E58" s="16"/>
    </row>
    <row r="59" spans="1:5" ht="15.75">
      <c r="A59" s="50">
        <v>4</v>
      </c>
      <c r="B59" s="611"/>
      <c r="C59" s="46"/>
      <c r="D59" s="46"/>
      <c r="E59" s="16"/>
    </row>
    <row r="60" spans="1:5" ht="15.75">
      <c r="A60" s="50">
        <v>5</v>
      </c>
      <c r="B60" s="611"/>
      <c r="C60" s="46"/>
      <c r="D60" s="46"/>
      <c r="E60" s="16"/>
    </row>
    <row r="61" spans="1:5" ht="15.75">
      <c r="A61" s="47" t="s">
        <v>169</v>
      </c>
      <c r="B61" s="46"/>
      <c r="C61" s="46"/>
      <c r="D61" s="46"/>
      <c r="E61" s="16"/>
    </row>
    <row r="62" spans="1:5" ht="15.75">
      <c r="A62" s="50">
        <v>1</v>
      </c>
      <c r="B62" s="611"/>
      <c r="C62" s="46"/>
      <c r="D62" s="46"/>
      <c r="E62" s="16"/>
    </row>
    <row r="63" spans="1:5" ht="15.75">
      <c r="A63" s="50">
        <v>2</v>
      </c>
      <c r="B63" s="611"/>
      <c r="C63" s="46"/>
      <c r="D63" s="46"/>
      <c r="E63" s="16"/>
    </row>
    <row r="64" spans="1:5" ht="15.75">
      <c r="A64" s="50">
        <v>3</v>
      </c>
      <c r="B64" s="611"/>
      <c r="C64" s="46"/>
      <c r="D64" s="46"/>
      <c r="E64" s="16"/>
    </row>
    <row r="65" spans="1:5" ht="15.75">
      <c r="A65" s="50">
        <v>4</v>
      </c>
      <c r="B65" s="611"/>
      <c r="C65" s="46"/>
      <c r="D65" s="46"/>
      <c r="E65" s="16"/>
    </row>
    <row r="66" spans="1:5" ht="18" customHeight="1">
      <c r="A66" s="50">
        <v>5</v>
      </c>
      <c r="B66" s="611"/>
      <c r="C66" s="16"/>
      <c r="D66" s="16"/>
      <c r="E66" s="16"/>
    </row>
    <row r="67" spans="1:5" ht="15.75">
      <c r="A67" s="16"/>
      <c r="B67" s="16"/>
      <c r="C67" s="16"/>
      <c r="D67" s="719" t="str">
        <f>CONCATENATE("",C6-3," Tax Rate")</f>
        <v>-3 Tax Rate</v>
      </c>
      <c r="E67" s="16"/>
    </row>
    <row r="68" spans="1:5" ht="15.75">
      <c r="A68" s="717" t="str">
        <f>CONCATENATE("From the ",C6-1," Budget, Budget Summary Page")</f>
        <v>From the -1 Budget, Budget Summary Page</v>
      </c>
      <c r="B68" s="718"/>
      <c r="C68" s="16"/>
      <c r="D68" s="720" t="str">
        <f>CONCATENATE("(",C6-2," Column)")</f>
        <v>(-2 Column)</v>
      </c>
      <c r="E68" s="16"/>
    </row>
    <row r="69" spans="1:5" ht="15.75">
      <c r="A69" s="16"/>
      <c r="B69" s="716" t="str">
        <f>B22</f>
        <v>General</v>
      </c>
      <c r="C69" s="52"/>
      <c r="D69" s="53"/>
      <c r="E69" s="16"/>
    </row>
    <row r="70" spans="1:5" ht="15.75">
      <c r="A70" s="16"/>
      <c r="B70" s="51" t="str">
        <f>B23</f>
        <v>Debt Service</v>
      </c>
      <c r="C70" s="52"/>
      <c r="D70" s="53"/>
      <c r="E70" s="16"/>
    </row>
    <row r="71" spans="1:5" ht="15.75">
      <c r="A71" s="16"/>
      <c r="B71" s="51" t="str">
        <f>B24</f>
        <v>Library</v>
      </c>
      <c r="C71" s="34"/>
      <c r="D71" s="53"/>
      <c r="E71" s="16"/>
    </row>
    <row r="72" spans="1:5" ht="15.75">
      <c r="A72" s="16"/>
      <c r="B72" s="51">
        <f aca="true" t="shared" si="1" ref="B72:B81">B26</f>
        <v>0</v>
      </c>
      <c r="C72" s="34"/>
      <c r="D72" s="53"/>
      <c r="E72" s="16"/>
    </row>
    <row r="73" spans="1:5" ht="15.75">
      <c r="A73" s="16"/>
      <c r="B73" s="51">
        <f t="shared" si="1"/>
        <v>0</v>
      </c>
      <c r="C73" s="34"/>
      <c r="D73" s="53"/>
      <c r="E73" s="16"/>
    </row>
    <row r="74" spans="1:5" ht="15.75">
      <c r="A74" s="16"/>
      <c r="B74" s="51">
        <f t="shared" si="1"/>
        <v>0</v>
      </c>
      <c r="C74" s="34"/>
      <c r="D74" s="53"/>
      <c r="E74" s="16"/>
    </row>
    <row r="75" spans="1:5" ht="15.75">
      <c r="A75" s="16"/>
      <c r="B75" s="51">
        <f t="shared" si="1"/>
        <v>0</v>
      </c>
      <c r="C75" s="34"/>
      <c r="D75" s="53"/>
      <c r="E75" s="16"/>
    </row>
    <row r="76" spans="1:5" ht="15.75">
      <c r="A76" s="16"/>
      <c r="B76" s="51">
        <f t="shared" si="1"/>
        <v>0</v>
      </c>
      <c r="C76" s="34"/>
      <c r="D76" s="53"/>
      <c r="E76" s="16"/>
    </row>
    <row r="77" spans="1:5" ht="15.75">
      <c r="A77" s="16"/>
      <c r="B77" s="51">
        <f t="shared" si="1"/>
        <v>0</v>
      </c>
      <c r="C77" s="34"/>
      <c r="D77" s="53"/>
      <c r="E77" s="16"/>
    </row>
    <row r="78" spans="1:5" ht="15.75">
      <c r="A78" s="16"/>
      <c r="B78" s="51">
        <f t="shared" si="1"/>
        <v>0</v>
      </c>
      <c r="C78" s="34"/>
      <c r="D78" s="53"/>
      <c r="E78" s="16"/>
    </row>
    <row r="79" spans="1:5" ht="15.75">
      <c r="A79" s="16"/>
      <c r="B79" s="51">
        <f t="shared" si="1"/>
        <v>0</v>
      </c>
      <c r="C79" s="34"/>
      <c r="D79" s="53"/>
      <c r="E79" s="16"/>
    </row>
    <row r="80" spans="1:5" ht="15.75">
      <c r="A80" s="16"/>
      <c r="B80" s="51">
        <f t="shared" si="1"/>
        <v>0</v>
      </c>
      <c r="C80" s="34"/>
      <c r="D80" s="53"/>
      <c r="E80" s="16"/>
    </row>
    <row r="81" spans="1:5" ht="15.75">
      <c r="A81" s="16"/>
      <c r="B81" s="51">
        <f t="shared" si="1"/>
        <v>0</v>
      </c>
      <c r="C81" s="34"/>
      <c r="D81" s="53"/>
      <c r="E81" s="16"/>
    </row>
    <row r="82" spans="1:5" ht="15.75">
      <c r="A82" s="19" t="s">
        <v>301</v>
      </c>
      <c r="B82" s="16"/>
      <c r="C82" s="16"/>
      <c r="D82" s="54">
        <f>SUM(D69:D81)</f>
        <v>0</v>
      </c>
      <c r="E82" s="16"/>
    </row>
    <row r="83" spans="1:5" ht="15.75">
      <c r="A83" s="16"/>
      <c r="B83" s="16"/>
      <c r="C83" s="16"/>
      <c r="D83" s="16"/>
      <c r="E83" s="16"/>
    </row>
    <row r="84" spans="1:5" ht="15.75">
      <c r="A84" s="721" t="str">
        <f>CONCATENATE("Total Tax Levied (",C6-2," budget column)")</f>
        <v>Total Tax Levied (-2 budget column)</v>
      </c>
      <c r="B84" s="718"/>
      <c r="C84" s="41"/>
      <c r="D84" s="55"/>
      <c r="E84" s="36"/>
    </row>
    <row r="85" spans="1:5" ht="15.75">
      <c r="A85" s="722" t="str">
        <f>CONCATENATE("Assessed Valuation  (",C6-2," budget column)")</f>
        <v>Assessed Valuation  (-2 budget column)</v>
      </c>
      <c r="B85" s="718"/>
      <c r="C85" s="57"/>
      <c r="D85" s="58"/>
      <c r="E85" s="36"/>
    </row>
    <row r="86" spans="1:5" ht="15.75">
      <c r="A86" s="16"/>
      <c r="B86" s="16"/>
      <c r="C86" s="16"/>
      <c r="D86" s="26"/>
      <c r="E86" s="37"/>
    </row>
    <row r="87" spans="1:5" ht="15.75">
      <c r="A87" s="723" t="s">
        <v>227</v>
      </c>
      <c r="B87" s="743"/>
      <c r="C87" s="59"/>
      <c r="D87" s="60">
        <f>C6-3</f>
        <v>-3</v>
      </c>
      <c r="E87" s="61">
        <f>C6-2</f>
        <v>-2</v>
      </c>
    </row>
    <row r="88" spans="1:5" ht="15.75">
      <c r="A88" s="724" t="s">
        <v>153</v>
      </c>
      <c r="B88" s="725"/>
      <c r="C88" s="62"/>
      <c r="D88" s="35"/>
      <c r="E88" s="35"/>
    </row>
    <row r="89" spans="1:5" ht="15.75">
      <c r="A89" s="726" t="s">
        <v>154</v>
      </c>
      <c r="B89" s="718"/>
      <c r="C89" s="63"/>
      <c r="D89" s="35"/>
      <c r="E89" s="35"/>
    </row>
    <row r="90" spans="1:5" ht="15.75">
      <c r="A90" s="726" t="s">
        <v>155</v>
      </c>
      <c r="B90" s="718"/>
      <c r="C90" s="63"/>
      <c r="D90" s="35"/>
      <c r="E90" s="35"/>
    </row>
    <row r="91" spans="1:5" ht="15.75">
      <c r="A91" s="726" t="s">
        <v>156</v>
      </c>
      <c r="B91" s="718"/>
      <c r="C91" s="63"/>
      <c r="D91" s="35"/>
      <c r="E91" s="35"/>
    </row>
    <row r="98" spans="1:5" s="64" customFormat="1" ht="15.75">
      <c r="A98" s="17"/>
      <c r="B98" s="17"/>
      <c r="C98" s="17"/>
      <c r="D98" s="17"/>
      <c r="E98" s="17"/>
    </row>
  </sheetData>
  <sheetProtection/>
  <mergeCells count="4">
    <mergeCell ref="A15:E15"/>
    <mergeCell ref="A1:E1"/>
    <mergeCell ref="A12:E14"/>
    <mergeCell ref="G13:H19"/>
  </mergeCells>
  <printOptions/>
  <pageMargins left="0.5" right="0.5" top="1" bottom="0.5" header="0.5" footer="0.25"/>
  <pageSetup blackAndWhite="1" fitToHeight="2" fitToWidth="1" horizontalDpi="120" verticalDpi="12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B83" sqref="B83"/>
    </sheetView>
  </sheetViews>
  <sheetFormatPr defaultColWidth="8.796875" defaultRowHeight="15"/>
  <cols>
    <col min="1" max="1" width="2.3984375" style="17" customWidth="1"/>
    <col min="2" max="2" width="31.09765625" style="17" customWidth="1"/>
    <col min="3" max="4" width="15.796875" style="17" customWidth="1"/>
    <col min="5" max="5" width="16.09765625" style="17" customWidth="1"/>
    <col min="6" max="6" width="8.8984375" style="17" customWidth="1"/>
    <col min="7" max="7" width="10.19921875" style="17" customWidth="1"/>
    <col min="8" max="8" width="8.8984375" style="17" customWidth="1"/>
    <col min="9" max="9" width="5.59765625" style="17" customWidth="1"/>
    <col min="10" max="10" width="10" style="17" customWidth="1"/>
    <col min="11" max="16384" width="8.8984375" style="17" customWidth="1"/>
  </cols>
  <sheetData>
    <row r="1" spans="2:5" ht="15.75">
      <c r="B1" s="124">
        <f>(inputPrYr!D3)</f>
        <v>0</v>
      </c>
      <c r="C1" s="16"/>
      <c r="D1" s="16"/>
      <c r="E1" s="177">
        <f>inputPrYr!C6</f>
        <v>0</v>
      </c>
    </row>
    <row r="2" spans="2:5" ht="15.75">
      <c r="B2" s="16"/>
      <c r="C2" s="16"/>
      <c r="D2" s="16"/>
      <c r="E2" s="120"/>
    </row>
    <row r="3" spans="2:5" ht="15.75">
      <c r="B3" s="27" t="s">
        <v>91</v>
      </c>
      <c r="C3" s="136"/>
      <c r="D3" s="136"/>
      <c r="E3" s="220"/>
    </row>
    <row r="4" spans="2:5" ht="15.75">
      <c r="B4" s="19" t="s">
        <v>23</v>
      </c>
      <c r="C4" s="592" t="s">
        <v>758</v>
      </c>
      <c r="D4" s="593" t="s">
        <v>761</v>
      </c>
      <c r="E4" s="99" t="s">
        <v>762</v>
      </c>
    </row>
    <row r="5" spans="2:5" ht="15.75">
      <c r="B5" s="331">
        <f>inputPrYr!B28</f>
        <v>0</v>
      </c>
      <c r="C5" s="314" t="str">
        <f>CONCATENATE("Actual for ",E1-2,"")</f>
        <v>Actual for -2</v>
      </c>
      <c r="D5" s="314" t="str">
        <f>CONCATENATE("Estimate for ",E1-1,"")</f>
        <v>Estimate for -1</v>
      </c>
      <c r="E5" s="187" t="str">
        <f>CONCATENATE("Year for ",E1,"")</f>
        <v>Year for 0</v>
      </c>
    </row>
    <row r="6" spans="2:5" ht="15.75">
      <c r="B6" s="188" t="s">
        <v>133</v>
      </c>
      <c r="C6" s="189"/>
      <c r="D6" s="313">
        <f>C33</f>
        <v>0</v>
      </c>
      <c r="E6" s="158">
        <f>D33</f>
        <v>0</v>
      </c>
    </row>
    <row r="7" spans="2:5" ht="15.75">
      <c r="B7" s="191" t="s">
        <v>135</v>
      </c>
      <c r="C7" s="313"/>
      <c r="D7" s="313"/>
      <c r="E7" s="158"/>
    </row>
    <row r="8" spans="2:5" ht="15.75">
      <c r="B8" s="105" t="s">
        <v>24</v>
      </c>
      <c r="C8" s="192"/>
      <c r="D8" s="313">
        <f>IF(inputPrYr!H21&gt;0,inputPrYr!G28,inputPrYr!E28)</f>
        <v>0</v>
      </c>
      <c r="E8" s="217" t="s">
        <v>13</v>
      </c>
    </row>
    <row r="9" spans="2:5" ht="15.75">
      <c r="B9" s="105" t="s">
        <v>25</v>
      </c>
      <c r="C9" s="192"/>
      <c r="D9" s="192"/>
      <c r="E9" s="36"/>
    </row>
    <row r="10" spans="2:5" ht="15.75">
      <c r="B10" s="105" t="s">
        <v>26</v>
      </c>
      <c r="C10" s="192"/>
      <c r="D10" s="192"/>
      <c r="E10" s="158" t="str">
        <f>mvalloc!D12</f>
        <v>  </v>
      </c>
    </row>
    <row r="11" spans="2:5" ht="15.75">
      <c r="B11" s="105" t="s">
        <v>27</v>
      </c>
      <c r="C11" s="192"/>
      <c r="D11" s="192"/>
      <c r="E11" s="158" t="str">
        <f>mvalloc!E12</f>
        <v> </v>
      </c>
    </row>
    <row r="12" spans="2:5" ht="15.75">
      <c r="B12" s="113" t="s">
        <v>122</v>
      </c>
      <c r="C12" s="192"/>
      <c r="D12" s="192"/>
      <c r="E12" s="158" t="str">
        <f>mvalloc!F12</f>
        <v> </v>
      </c>
    </row>
    <row r="13" spans="2:5" ht="15.75">
      <c r="B13" s="757" t="s">
        <v>978</v>
      </c>
      <c r="C13" s="192"/>
      <c r="D13" s="192"/>
      <c r="E13" s="158" t="str">
        <f>mvalloc!G12</f>
        <v> </v>
      </c>
    </row>
    <row r="14" spans="2:5" ht="15.75">
      <c r="B14" s="757" t="s">
        <v>979</v>
      </c>
      <c r="C14" s="192"/>
      <c r="D14" s="192"/>
      <c r="E14" s="158" t="str">
        <f>mvalloc!H12</f>
        <v> </v>
      </c>
    </row>
    <row r="15" spans="2:5" ht="15.75">
      <c r="B15" s="36"/>
      <c r="C15" s="192"/>
      <c r="D15" s="192"/>
      <c r="E15" s="36"/>
    </row>
    <row r="16" spans="2:5" ht="15.75">
      <c r="B16" s="196" t="s">
        <v>31</v>
      </c>
      <c r="C16" s="192"/>
      <c r="D16" s="192"/>
      <c r="E16" s="36"/>
    </row>
    <row r="17" spans="2:5" ht="15.75">
      <c r="B17" s="205" t="s">
        <v>237</v>
      </c>
      <c r="C17" s="192"/>
      <c r="D17" s="192"/>
      <c r="E17" s="821">
        <f>nhood!E11*-1</f>
        <v>0</v>
      </c>
    </row>
    <row r="18" spans="2:5" ht="15.75">
      <c r="B18" s="113" t="s">
        <v>236</v>
      </c>
      <c r="C18" s="192"/>
      <c r="D18" s="192"/>
      <c r="E18" s="36"/>
    </row>
    <row r="19" spans="2:10" ht="15.75">
      <c r="B19" s="188" t="s">
        <v>746</v>
      </c>
      <c r="C19" s="315">
        <f>IF(C20*0.1&lt;C18,"Exceed 10% Rule","")</f>
      </c>
      <c r="D19" s="315">
        <f>IF(D20*0.1&lt;D18,"Exceed 10% Rule","")</f>
      </c>
      <c r="E19" s="332">
        <f>IF(E20*0.1+E39&lt;E18,"Exceed 10% Rule","")</f>
      </c>
      <c r="G19" s="1040" t="str">
        <f>CONCATENATE("Desired Carryover Into ",E1+1,"")</f>
        <v>Desired Carryover Into 1</v>
      </c>
      <c r="H19" s="1030"/>
      <c r="I19" s="1030"/>
      <c r="J19" s="1031"/>
    </row>
    <row r="20" spans="2:10" ht="15.75">
      <c r="B20" s="198" t="s">
        <v>32</v>
      </c>
      <c r="C20" s="316">
        <f>SUM(C8:C18)</f>
        <v>0</v>
      </c>
      <c r="D20" s="316">
        <f>SUM(D8:D18)</f>
        <v>0</v>
      </c>
      <c r="E20" s="222">
        <f>SUM(E8:E18)</f>
        <v>0</v>
      </c>
      <c r="G20" s="632"/>
      <c r="H20" s="619"/>
      <c r="I20" s="626"/>
      <c r="J20" s="633"/>
    </row>
    <row r="21" spans="2:10" ht="15.75">
      <c r="B21" s="198" t="s">
        <v>33</v>
      </c>
      <c r="C21" s="316">
        <f>C6+C20</f>
        <v>0</v>
      </c>
      <c r="D21" s="316">
        <f>D6+D20</f>
        <v>0</v>
      </c>
      <c r="E21" s="222">
        <f>E6+E20</f>
        <v>0</v>
      </c>
      <c r="G21" s="631" t="s">
        <v>592</v>
      </c>
      <c r="H21" s="626"/>
      <c r="I21" s="626"/>
      <c r="J21" s="620">
        <v>0</v>
      </c>
    </row>
    <row r="22" spans="2:10" ht="15.75">
      <c r="B22" s="105" t="s">
        <v>35</v>
      </c>
      <c r="C22" s="205"/>
      <c r="D22" s="205"/>
      <c r="E22" s="34"/>
      <c r="G22" s="632" t="s">
        <v>593</v>
      </c>
      <c r="H22" s="619"/>
      <c r="I22" s="619"/>
      <c r="J22" s="657">
        <f>IF(J21=0,"",ROUND((J21+E39-G34)/inputOth!E7*1000,3)-G39)</f>
      </c>
    </row>
    <row r="23" spans="2:10" ht="15.75">
      <c r="B23" s="225"/>
      <c r="C23" s="192"/>
      <c r="D23" s="192"/>
      <c r="E23" s="35"/>
      <c r="G23" s="655" t="str">
        <f>CONCATENATE("",E1," Tot Exp/Non-Appr Must Be:")</f>
        <v>0 Tot Exp/Non-Appr Must Be:</v>
      </c>
      <c r="H23" s="653"/>
      <c r="I23" s="654"/>
      <c r="J23" s="650">
        <f>IF(J21&gt;0,IF(E36&lt;E21,IF(J21=G34,E36,((J21-G34)*(1-D38))+E21),E36+(J21-G34)),0)</f>
        <v>0</v>
      </c>
    </row>
    <row r="24" spans="2:10" ht="15.75">
      <c r="B24" s="204"/>
      <c r="C24" s="192"/>
      <c r="D24" s="192"/>
      <c r="E24" s="36"/>
      <c r="F24" s="224"/>
      <c r="G24" s="548" t="s">
        <v>763</v>
      </c>
      <c r="H24" s="660"/>
      <c r="I24" s="660"/>
      <c r="J24" s="656">
        <f>IF(J21&gt;0,J23-E36,0)</f>
        <v>0</v>
      </c>
    </row>
    <row r="25" spans="2:10" ht="15.75">
      <c r="B25" s="204"/>
      <c r="C25" s="192"/>
      <c r="D25" s="192"/>
      <c r="E25" s="36"/>
      <c r="J25" s="610"/>
    </row>
    <row r="26" spans="2:10" ht="15.75">
      <c r="B26" s="204"/>
      <c r="C26" s="192"/>
      <c r="D26" s="192"/>
      <c r="E26" s="36"/>
      <c r="G26" s="1040" t="str">
        <f>CONCATENATE("Projected Carryover Into ",E1+1,"")</f>
        <v>Projected Carryover Into 1</v>
      </c>
      <c r="H26" s="1036"/>
      <c r="I26" s="1036"/>
      <c r="J26" s="1045"/>
    </row>
    <row r="27" spans="2:10" ht="15.75">
      <c r="B27" s="204"/>
      <c r="C27" s="192"/>
      <c r="D27" s="192"/>
      <c r="E27" s="36"/>
      <c r="G27" s="632"/>
      <c r="H27" s="626"/>
      <c r="I27" s="626"/>
      <c r="J27" s="669"/>
    </row>
    <row r="28" spans="2:10" ht="15.75">
      <c r="B28" s="204"/>
      <c r="C28" s="192"/>
      <c r="D28" s="192"/>
      <c r="E28" s="36"/>
      <c r="G28" s="623">
        <f>D33</f>
        <v>0</v>
      </c>
      <c r="H28" s="624" t="str">
        <f>CONCATENATE("",E1-1," Ending Cash Balance (est.)")</f>
        <v>-1 Ending Cash Balance (est.)</v>
      </c>
      <c r="I28" s="625"/>
      <c r="J28" s="669"/>
    </row>
    <row r="29" spans="2:10" ht="15.75">
      <c r="B29" s="205" t="str">
        <f>CONCATENATE("Cash Forward (",E1," column)")</f>
        <v>Cash Forward (0 column)</v>
      </c>
      <c r="C29" s="192"/>
      <c r="D29" s="192"/>
      <c r="E29" s="36"/>
      <c r="G29" s="623">
        <f>E20</f>
        <v>0</v>
      </c>
      <c r="H29" s="626" t="str">
        <f>CONCATENATE("",E1," Non-AV Receipts (est.)")</f>
        <v>0 Non-AV Receipts (est.)</v>
      </c>
      <c r="I29" s="625"/>
      <c r="J29" s="669"/>
    </row>
    <row r="30" spans="2:11" ht="15.75">
      <c r="B30" s="205" t="s">
        <v>236</v>
      </c>
      <c r="C30" s="192"/>
      <c r="D30" s="192"/>
      <c r="E30" s="36"/>
      <c r="G30" s="627">
        <f>IF(E38&gt;0,E37,E39)</f>
        <v>0</v>
      </c>
      <c r="H30" s="626" t="str">
        <f>CONCATENATE("",E1," Ad Valorem Tax (est.)")</f>
        <v>0 Ad Valorem Tax (est.)</v>
      </c>
      <c r="I30" s="625"/>
      <c r="J30" s="669"/>
      <c r="K30" s="17">
        <f>IF(G30=E39,"","Note: Does not include Delinquent Taxes")</f>
      </c>
    </row>
    <row r="31" spans="2:10" ht="15.75">
      <c r="B31" s="205" t="s">
        <v>747</v>
      </c>
      <c r="C31" s="315">
        <f>IF(C32*0.1&lt;C30,"Exceed 10% Rule","")</f>
      </c>
      <c r="D31" s="315">
        <f>IF(D32*0.1&lt;D30,"Exceed 10% Rule","")</f>
      </c>
      <c r="E31" s="332">
        <f>IF(E32*0.1&lt;E30,"Exceed 10% Rule","")</f>
      </c>
      <c r="G31" s="623">
        <f>SUM(G28:G30)</f>
        <v>0</v>
      </c>
      <c r="H31" s="626" t="str">
        <f>CONCATENATE("Total ",E1," Resources Available")</f>
        <v>Total 0 Resources Available</v>
      </c>
      <c r="I31" s="625"/>
      <c r="J31" s="669"/>
    </row>
    <row r="32" spans="2:10" ht="15.75">
      <c r="B32" s="198" t="s">
        <v>39</v>
      </c>
      <c r="C32" s="316">
        <f>SUM(C23:C30)</f>
        <v>0</v>
      </c>
      <c r="D32" s="316">
        <f>SUM(D23:D30)</f>
        <v>0</v>
      </c>
      <c r="E32" s="222">
        <f>SUM(E23:E30)</f>
        <v>0</v>
      </c>
      <c r="G32" s="628"/>
      <c r="H32" s="626"/>
      <c r="I32" s="626"/>
      <c r="J32" s="669"/>
    </row>
    <row r="33" spans="2:10" ht="15.75">
      <c r="B33" s="105" t="s">
        <v>134</v>
      </c>
      <c r="C33" s="313">
        <f>C21-C32</f>
        <v>0</v>
      </c>
      <c r="D33" s="313">
        <f>D21-D32</f>
        <v>0</v>
      </c>
      <c r="E33" s="217" t="s">
        <v>13</v>
      </c>
      <c r="G33" s="627">
        <f>ROUND(C32*0.05+C32,0)</f>
        <v>0</v>
      </c>
      <c r="H33" s="626" t="str">
        <f>CONCATENATE("Less ",E1-2," Expenditures + 5%")</f>
        <v>Less -2 Expenditures + 5%</v>
      </c>
      <c r="I33" s="625"/>
      <c r="J33" s="669"/>
    </row>
    <row r="34" spans="2:10" ht="15.75">
      <c r="B34" s="122" t="str">
        <f>CONCATENATE("",E1-2,"/",E1-1,"/",E1," Budget Authority Amount:")</f>
        <v>-2/-1/0 Budget Authority Amount:</v>
      </c>
      <c r="C34" s="478">
        <f>inputOth!B69</f>
        <v>0</v>
      </c>
      <c r="D34" s="685">
        <f>inputPrYr!D28</f>
        <v>0</v>
      </c>
      <c r="E34" s="158">
        <f>E32</f>
        <v>0</v>
      </c>
      <c r="G34" s="658">
        <f>G31-G33</f>
        <v>0</v>
      </c>
      <c r="H34" s="659" t="str">
        <f>CONCATENATE("Projected ",E1+1," carryover (est.)")</f>
        <v>Projected 1 carryover (est.)</v>
      </c>
      <c r="I34" s="629"/>
      <c r="J34" s="667"/>
    </row>
    <row r="35" spans="2:10" ht="15.75">
      <c r="B35" s="93"/>
      <c r="C35" s="1025" t="s">
        <v>584</v>
      </c>
      <c r="D35" s="1026"/>
      <c r="E35" s="36"/>
      <c r="G35" s="610"/>
      <c r="H35" s="610"/>
      <c r="I35" s="610"/>
      <c r="J35" s="610"/>
    </row>
    <row r="36" spans="2:10" ht="15.75">
      <c r="B36" s="334" t="str">
        <f>CONCATENATE(C97,"     ",D97)</f>
        <v>     </v>
      </c>
      <c r="C36" s="1027" t="s">
        <v>585</v>
      </c>
      <c r="D36" s="1028"/>
      <c r="E36" s="158">
        <f>E32+E35</f>
        <v>0</v>
      </c>
      <c r="G36" s="1032" t="s">
        <v>819</v>
      </c>
      <c r="H36" s="1033"/>
      <c r="I36" s="1033"/>
      <c r="J36" s="1034"/>
    </row>
    <row r="37" spans="2:10" ht="15.75">
      <c r="B37" s="334" t="str">
        <f>CONCATENATE(C98,"     ",D98)</f>
        <v>     </v>
      </c>
      <c r="C37" s="208"/>
      <c r="D37" s="120" t="s">
        <v>40</v>
      </c>
      <c r="E37" s="158">
        <f>IF(E36-E21&gt;0,E36-E21,0)</f>
        <v>0</v>
      </c>
      <c r="F37" s="207"/>
      <c r="G37" s="662"/>
      <c r="H37" s="624"/>
      <c r="I37" s="651"/>
      <c r="J37" s="652"/>
    </row>
    <row r="38" spans="2:10" ht="15.75">
      <c r="B38" s="120"/>
      <c r="C38" s="320" t="s">
        <v>586</v>
      </c>
      <c r="D38" s="550">
        <f>inputOth!$E$50</f>
        <v>0</v>
      </c>
      <c r="E38" s="158">
        <f>ROUND(IF(D38&gt;0,(E37*D38),0),0)</f>
        <v>0</v>
      </c>
      <c r="F38" s="680">
        <f>IF(E32/0.95-E32&lt;E35,"Exceeds 5%","")</f>
      </c>
      <c r="G38" s="664" t="str">
        <f>summ!H21</f>
        <v>  </v>
      </c>
      <c r="H38" s="624" t="str">
        <f>CONCATENATE("",E1," Fund Mill Rate")</f>
        <v>0 Fund Mill Rate</v>
      </c>
      <c r="I38" s="651"/>
      <c r="J38" s="652"/>
    </row>
    <row r="39" spans="2:10" ht="16.5" thickBot="1">
      <c r="B39" s="16"/>
      <c r="C39" s="1018" t="str">
        <f>CONCATENATE("Amount of  ",$E$1-1," Ad Valorem Tax")</f>
        <v>Amount of  -1 Ad Valorem Tax</v>
      </c>
      <c r="D39" s="1029"/>
      <c r="E39" s="223">
        <f>E37+E38</f>
        <v>0</v>
      </c>
      <c r="G39" s="663" t="str">
        <f>summ!E21</f>
        <v>  </v>
      </c>
      <c r="H39" s="624" t="str">
        <f>CONCATENATE("",E1-1," Fund Mill Rate")</f>
        <v>-1 Fund Mill Rate</v>
      </c>
      <c r="I39" s="651"/>
      <c r="J39" s="652"/>
    </row>
    <row r="40" spans="2:10" ht="16.5" thickTop="1">
      <c r="B40" s="16"/>
      <c r="C40" s="1043"/>
      <c r="D40" s="1043"/>
      <c r="E40" s="16"/>
      <c r="G40" s="665">
        <f>summ!H43</f>
        <v>0</v>
      </c>
      <c r="H40" s="624" t="str">
        <f>CONCATENATE("Total ",E1," Mill Rate")</f>
        <v>Total 0 Mill Rate</v>
      </c>
      <c r="I40" s="651"/>
      <c r="J40" s="652"/>
    </row>
    <row r="41" spans="2:10" ht="15.75">
      <c r="B41" s="16"/>
      <c r="C41" s="16"/>
      <c r="D41" s="16"/>
      <c r="E41" s="16"/>
      <c r="G41" s="663">
        <f>summ!E43</f>
        <v>0</v>
      </c>
      <c r="H41" s="647" t="str">
        <f>CONCATENATE("Total ",E1-1," Mill Rate")</f>
        <v>Total -1 Mill Rate</v>
      </c>
      <c r="I41" s="648"/>
      <c r="J41" s="649"/>
    </row>
    <row r="42" spans="2:5" ht="15.75">
      <c r="B42" s="19"/>
      <c r="C42" s="221"/>
      <c r="D42" s="221"/>
      <c r="E42" s="221"/>
    </row>
    <row r="43" spans="2:10" ht="15.75">
      <c r="B43" s="19" t="s">
        <v>23</v>
      </c>
      <c r="C43" s="592" t="str">
        <f aca="true" t="shared" si="0" ref="C43:E44">C4</f>
        <v>Prior Year </v>
      </c>
      <c r="D43" s="593" t="str">
        <f t="shared" si="0"/>
        <v>Current Year </v>
      </c>
      <c r="E43" s="99" t="str">
        <f t="shared" si="0"/>
        <v>Proposed Budget </v>
      </c>
      <c r="G43" s="776"/>
      <c r="H43" s="793"/>
      <c r="I43" s="775"/>
      <c r="J43" s="792"/>
    </row>
    <row r="44" spans="2:10" ht="15.75">
      <c r="B44" s="330">
        <f>inputPrYr!B29</f>
        <v>0</v>
      </c>
      <c r="C44" s="314" t="str">
        <f t="shared" si="0"/>
        <v>Actual for -2</v>
      </c>
      <c r="D44" s="314" t="str">
        <f t="shared" si="0"/>
        <v>Estimate for -1</v>
      </c>
      <c r="E44" s="143" t="str">
        <f t="shared" si="0"/>
        <v>Year for 0</v>
      </c>
      <c r="G44" s="765" t="str">
        <f>CONCATENATE("Computed ",E1," tax levy limit amount")</f>
        <v>Computed 0 tax levy limit amount</v>
      </c>
      <c r="H44" s="769"/>
      <c r="I44" s="769"/>
      <c r="J44" s="772">
        <f>Comp1!J47</f>
        <v>0</v>
      </c>
    </row>
    <row r="45" spans="2:10" ht="15.75">
      <c r="B45" s="188" t="s">
        <v>133</v>
      </c>
      <c r="C45" s="189"/>
      <c r="D45" s="313">
        <f>C75</f>
        <v>0</v>
      </c>
      <c r="E45" s="158">
        <f>D75</f>
        <v>0</v>
      </c>
      <c r="G45" s="763" t="str">
        <f>CONCATENATE("Total ",E1," tax levy amount")</f>
        <v>Total 0 tax levy amount</v>
      </c>
      <c r="H45" s="768"/>
      <c r="I45" s="768"/>
      <c r="J45" s="770">
        <f>summ!G43</f>
        <v>0</v>
      </c>
    </row>
    <row r="46" spans="2:5" ht="15.75">
      <c r="B46" s="188" t="s">
        <v>135</v>
      </c>
      <c r="C46" s="113"/>
      <c r="D46" s="113"/>
      <c r="E46" s="51"/>
    </row>
    <row r="47" spans="2:5" ht="15.75">
      <c r="B47" s="105" t="s">
        <v>24</v>
      </c>
      <c r="C47" s="189"/>
      <c r="D47" s="313">
        <f>IF(inputPrYr!H21&gt;0,inputPrYr!G29,inputPrYr!E29)</f>
        <v>0</v>
      </c>
      <c r="E47" s="217" t="s">
        <v>13</v>
      </c>
    </row>
    <row r="48" spans="2:5" ht="15.75">
      <c r="B48" s="105" t="s">
        <v>25</v>
      </c>
      <c r="C48" s="189"/>
      <c r="D48" s="189"/>
      <c r="E48" s="36"/>
    </row>
    <row r="49" spans="2:5" ht="15.75">
      <c r="B49" s="105" t="s">
        <v>26</v>
      </c>
      <c r="C49" s="189"/>
      <c r="D49" s="189"/>
      <c r="E49" s="158" t="str">
        <f>mvalloc!D13</f>
        <v>  </v>
      </c>
    </row>
    <row r="50" spans="2:5" ht="15.75">
      <c r="B50" s="105" t="s">
        <v>27</v>
      </c>
      <c r="C50" s="189"/>
      <c r="D50" s="189"/>
      <c r="E50" s="158" t="str">
        <f>mvalloc!E13</f>
        <v> </v>
      </c>
    </row>
    <row r="51" spans="2:5" ht="15.75">
      <c r="B51" s="113" t="s">
        <v>122</v>
      </c>
      <c r="C51" s="189"/>
      <c r="D51" s="189"/>
      <c r="E51" s="158" t="str">
        <f>mvalloc!F13</f>
        <v> </v>
      </c>
    </row>
    <row r="52" spans="2:5" ht="15.75">
      <c r="B52" s="757" t="s">
        <v>978</v>
      </c>
      <c r="C52" s="189"/>
      <c r="D52" s="189"/>
      <c r="E52" s="158" t="str">
        <f>mvalloc!G13</f>
        <v> </v>
      </c>
    </row>
    <row r="53" spans="2:5" ht="15.75">
      <c r="B53" s="757" t="s">
        <v>979</v>
      </c>
      <c r="C53" s="189"/>
      <c r="D53" s="189"/>
      <c r="E53" s="158" t="str">
        <f>mvalloc!H13</f>
        <v> </v>
      </c>
    </row>
    <row r="54" spans="2:5" ht="15.75">
      <c r="B54" s="36"/>
      <c r="C54" s="189"/>
      <c r="D54" s="189"/>
      <c r="E54" s="36"/>
    </row>
    <row r="55" spans="2:5" ht="15.75">
      <c r="B55" s="204"/>
      <c r="C55" s="189"/>
      <c r="D55" s="189"/>
      <c r="E55" s="36"/>
    </row>
    <row r="56" spans="2:5" ht="15.75">
      <c r="B56" s="204"/>
      <c r="C56" s="189"/>
      <c r="D56" s="189"/>
      <c r="E56" s="36"/>
    </row>
    <row r="57" spans="2:5" ht="15.75">
      <c r="B57" s="204"/>
      <c r="C57" s="189"/>
      <c r="D57" s="189"/>
      <c r="E57" s="36"/>
    </row>
    <row r="58" spans="2:5" ht="15.75">
      <c r="B58" s="196" t="s">
        <v>31</v>
      </c>
      <c r="C58" s="189"/>
      <c r="D58" s="189"/>
      <c r="E58" s="36"/>
    </row>
    <row r="59" spans="2:5" ht="15.75">
      <c r="B59" s="205" t="s">
        <v>237</v>
      </c>
      <c r="C59" s="189"/>
      <c r="D59" s="189"/>
      <c r="E59" s="821">
        <f>nhood!E12*-1</f>
        <v>0</v>
      </c>
    </row>
    <row r="60" spans="2:5" ht="15.75">
      <c r="B60" s="113" t="s">
        <v>236</v>
      </c>
      <c r="C60" s="189"/>
      <c r="D60" s="189"/>
      <c r="E60" s="36"/>
    </row>
    <row r="61" spans="2:10" ht="15.75">
      <c r="B61" s="188" t="s">
        <v>746</v>
      </c>
      <c r="C61" s="315">
        <f>IF(C62*0.1&lt;C60,"Exceed 10% Rule","")</f>
      </c>
      <c r="D61" s="315">
        <f>IF(D62*0.1&lt;D60,"Exceed 10% Rule","")</f>
      </c>
      <c r="E61" s="332">
        <f>IF(E62*0.1+E81&lt;E60,"Exceed 10% Rule","")</f>
      </c>
      <c r="G61" s="1040" t="str">
        <f>CONCATENATE("Desired Carryover Into ",E1+1,"")</f>
        <v>Desired Carryover Into 1</v>
      </c>
      <c r="H61" s="1030"/>
      <c r="I61" s="1030"/>
      <c r="J61" s="1031"/>
    </row>
    <row r="62" spans="2:10" ht="15.75">
      <c r="B62" s="198" t="s">
        <v>32</v>
      </c>
      <c r="C62" s="316">
        <f>SUM(C47:C60)</f>
        <v>0</v>
      </c>
      <c r="D62" s="316">
        <f>SUM(D47:D60)</f>
        <v>0</v>
      </c>
      <c r="E62" s="222">
        <f>SUM(E48:E60)</f>
        <v>0</v>
      </c>
      <c r="G62" s="632"/>
      <c r="H62" s="619"/>
      <c r="I62" s="626"/>
      <c r="J62" s="633"/>
    </row>
    <row r="63" spans="2:10" ht="15.75">
      <c r="B63" s="198" t="s">
        <v>33</v>
      </c>
      <c r="C63" s="316">
        <f>C45+C62</f>
        <v>0</v>
      </c>
      <c r="D63" s="316">
        <f>D45+D62</f>
        <v>0</v>
      </c>
      <c r="E63" s="222">
        <f>E45+E62</f>
        <v>0</v>
      </c>
      <c r="G63" s="631" t="s">
        <v>592</v>
      </c>
      <c r="H63" s="626"/>
      <c r="I63" s="626"/>
      <c r="J63" s="620">
        <v>0</v>
      </c>
    </row>
    <row r="64" spans="2:10" ht="15.75">
      <c r="B64" s="105" t="s">
        <v>35</v>
      </c>
      <c r="C64" s="205"/>
      <c r="D64" s="205"/>
      <c r="E64" s="34"/>
      <c r="G64" s="632" t="s">
        <v>593</v>
      </c>
      <c r="H64" s="619"/>
      <c r="I64" s="619"/>
      <c r="J64" s="657">
        <f>IF(J63=0,"",ROUND((J63+E81-G76)/inputOth!E7*1000,3)-G81)</f>
      </c>
    </row>
    <row r="65" spans="2:10" ht="15.75">
      <c r="B65" s="204"/>
      <c r="C65" s="189"/>
      <c r="D65" s="189"/>
      <c r="E65" s="36"/>
      <c r="G65" s="655" t="str">
        <f>CONCATENATE("",E1," Tot Exp/Non-Appr Must Be:")</f>
        <v>0 Tot Exp/Non-Appr Must Be:</v>
      </c>
      <c r="H65" s="653"/>
      <c r="I65" s="654"/>
      <c r="J65" s="650">
        <f>IF(J63&gt;0,IF(E78&lt;E63,IF(J63=G76,E78,((J63-G76)*(1-D80))+E63),E78+(J63-G76)),0)</f>
        <v>0</v>
      </c>
    </row>
    <row r="66" spans="2:10" ht="15.75">
      <c r="B66" s="204"/>
      <c r="C66" s="189"/>
      <c r="D66" s="189"/>
      <c r="E66" s="36"/>
      <c r="G66" s="548" t="s">
        <v>763</v>
      </c>
      <c r="H66" s="660"/>
      <c r="I66" s="660"/>
      <c r="J66" s="656">
        <f>IF(J63&gt;0,J65-E78,0)</f>
        <v>0</v>
      </c>
    </row>
    <row r="67" spans="2:10" ht="15.75">
      <c r="B67" s="204"/>
      <c r="C67" s="189"/>
      <c r="D67" s="189"/>
      <c r="E67" s="36"/>
      <c r="J67" s="610"/>
    </row>
    <row r="68" spans="2:10" ht="15.75">
      <c r="B68" s="204"/>
      <c r="C68" s="189"/>
      <c r="D68" s="189"/>
      <c r="E68" s="36"/>
      <c r="G68" s="1040" t="str">
        <f>CONCATENATE("Projected Carryover Into ",E1+1,"")</f>
        <v>Projected Carryover Into 1</v>
      </c>
      <c r="H68" s="1046"/>
      <c r="I68" s="1046"/>
      <c r="J68" s="1045"/>
    </row>
    <row r="69" spans="2:10" ht="15.75">
      <c r="B69" s="204"/>
      <c r="C69" s="189"/>
      <c r="D69" s="189"/>
      <c r="E69" s="36"/>
      <c r="G69" s="621"/>
      <c r="H69" s="619"/>
      <c r="I69" s="619"/>
      <c r="J69" s="669"/>
    </row>
    <row r="70" spans="2:10" ht="15.75">
      <c r="B70" s="204"/>
      <c r="C70" s="189"/>
      <c r="D70" s="189"/>
      <c r="E70" s="36"/>
      <c r="G70" s="623">
        <f>D75</f>
        <v>0</v>
      </c>
      <c r="H70" s="624" t="str">
        <f>CONCATENATE("",E1-1," Ending Cash Balance (est.)")</f>
        <v>-1 Ending Cash Balance (est.)</v>
      </c>
      <c r="I70" s="625"/>
      <c r="J70" s="669"/>
    </row>
    <row r="71" spans="2:10" ht="15.75">
      <c r="B71" s="205" t="str">
        <f>CONCATENATE("Cash Forward (",E1," column)")</f>
        <v>Cash Forward (0 column)</v>
      </c>
      <c r="C71" s="189"/>
      <c r="D71" s="189"/>
      <c r="E71" s="36"/>
      <c r="G71" s="623">
        <f>E62</f>
        <v>0</v>
      </c>
      <c r="H71" s="626" t="str">
        <f>CONCATENATE("",E1," Non-AV Receipts (est.)")</f>
        <v>0 Non-AV Receipts (est.)</v>
      </c>
      <c r="I71" s="625"/>
      <c r="J71" s="669"/>
    </row>
    <row r="72" spans="2:11" ht="15.75">
      <c r="B72" s="205" t="s">
        <v>236</v>
      </c>
      <c r="C72" s="189"/>
      <c r="D72" s="189"/>
      <c r="E72" s="36"/>
      <c r="G72" s="627">
        <f>IF(D80&gt;0,E79,E81)</f>
        <v>0</v>
      </c>
      <c r="H72" s="626" t="str">
        <f>CONCATENATE("",E1," Ad Valorem Tax (est.)")</f>
        <v>0 Ad Valorem Tax (est.)</v>
      </c>
      <c r="I72" s="625"/>
      <c r="J72" s="669"/>
      <c r="K72" s="551">
        <f>IF(G72=E81,"","Note: Does not include Delinquent Taxes")</f>
      </c>
    </row>
    <row r="73" spans="2:10" ht="15.75">
      <c r="B73" s="205" t="s">
        <v>747</v>
      </c>
      <c r="C73" s="315">
        <f>IF(C74*0.1&lt;C72,"Exceed 10% Rule","")</f>
      </c>
      <c r="D73" s="315">
        <f>IF(D74*0.1&lt;D72,"Exceed 10% Rule","")</f>
      </c>
      <c r="E73" s="332">
        <f>IF(E74*0.1&lt;E72,"Exceed 10% Rule","")</f>
      </c>
      <c r="G73" s="634">
        <f>SUM(G70:G72)</f>
        <v>0</v>
      </c>
      <c r="H73" s="626" t="str">
        <f>CONCATENATE("Total ",E1," Resources Available")</f>
        <v>Total 0 Resources Available</v>
      </c>
      <c r="I73" s="622"/>
      <c r="J73" s="669"/>
    </row>
    <row r="74" spans="2:10" ht="15.75">
      <c r="B74" s="198" t="s">
        <v>39</v>
      </c>
      <c r="C74" s="316">
        <f>SUM(C65:C72)</f>
        <v>0</v>
      </c>
      <c r="D74" s="316">
        <f>SUM(D65:D72)</f>
        <v>0</v>
      </c>
      <c r="E74" s="222">
        <f>SUM(E65:E72)</f>
        <v>0</v>
      </c>
      <c r="G74" s="637"/>
      <c r="H74" s="635"/>
      <c r="I74" s="619"/>
      <c r="J74" s="669"/>
    </row>
    <row r="75" spans="2:10" ht="15.75">
      <c r="B75" s="105" t="s">
        <v>134</v>
      </c>
      <c r="C75" s="313">
        <f>C63-C74</f>
        <v>0</v>
      </c>
      <c r="D75" s="313">
        <f>D63-D74</f>
        <v>0</v>
      </c>
      <c r="E75" s="217" t="s">
        <v>13</v>
      </c>
      <c r="G75" s="636">
        <f>ROUND(C74*0.05+C74,0)</f>
        <v>0</v>
      </c>
      <c r="H75" s="635" t="str">
        <f>CONCATENATE("Less ",E1-2," Expenditures + 5%")</f>
        <v>Less -2 Expenditures + 5%</v>
      </c>
      <c r="I75" s="622"/>
      <c r="J75" s="669"/>
    </row>
    <row r="76" spans="2:10" ht="15.75">
      <c r="B76" s="122" t="str">
        <f>CONCATENATE("",E1-2,"/",E1-1,"/",E1," Budget Authority Amount:")</f>
        <v>-2/-1/0 Budget Authority Amount:</v>
      </c>
      <c r="C76" s="478">
        <f>inputOth!B70</f>
        <v>0</v>
      </c>
      <c r="D76" s="685">
        <f>inputPrYr!D29</f>
        <v>0</v>
      </c>
      <c r="E76" s="158">
        <f>E74</f>
        <v>0</v>
      </c>
      <c r="G76" s="638">
        <f>G73-G75</f>
        <v>0</v>
      </c>
      <c r="H76" s="639" t="str">
        <f>CONCATENATE("Projected ",E1+1," carryover (est.)")</f>
        <v>Projected 1 carryover (est.)</v>
      </c>
      <c r="I76" s="630"/>
      <c r="J76" s="667"/>
    </row>
    <row r="77" spans="2:9" ht="15.75">
      <c r="B77" s="93"/>
      <c r="C77" s="1025" t="s">
        <v>584</v>
      </c>
      <c r="D77" s="1026"/>
      <c r="E77" s="36"/>
      <c r="G77" s="610"/>
      <c r="H77" s="610"/>
      <c r="I77" s="610"/>
    </row>
    <row r="78" spans="2:10" ht="15.75">
      <c r="B78" s="334" t="str">
        <f>CONCATENATE(C99,"     ",D99)</f>
        <v>     </v>
      </c>
      <c r="C78" s="1027" t="s">
        <v>585</v>
      </c>
      <c r="D78" s="1028"/>
      <c r="E78" s="158">
        <f>E74+E77</f>
        <v>0</v>
      </c>
      <c r="G78" s="1032" t="s">
        <v>819</v>
      </c>
      <c r="H78" s="1033"/>
      <c r="I78" s="1033"/>
      <c r="J78" s="1034"/>
    </row>
    <row r="79" spans="2:10" ht="15.75">
      <c r="B79" s="334" t="str">
        <f>CONCATENATE(C100,"     ",D100)</f>
        <v>     </v>
      </c>
      <c r="C79" s="208"/>
      <c r="D79" s="120" t="s">
        <v>40</v>
      </c>
      <c r="E79" s="158">
        <f>IF(E78-E63&gt;0,E78-E63,0)</f>
        <v>0</v>
      </c>
      <c r="F79" s="207"/>
      <c r="G79" s="662"/>
      <c r="H79" s="624"/>
      <c r="I79" s="651"/>
      <c r="J79" s="652"/>
    </row>
    <row r="80" spans="2:10" ht="15.75">
      <c r="B80" s="120"/>
      <c r="C80" s="320" t="s">
        <v>586</v>
      </c>
      <c r="D80" s="550">
        <f>inputOth!$E$50</f>
        <v>0</v>
      </c>
      <c r="E80" s="158">
        <f>ROUND(IF(D80&gt;0,(E79*D80),0),0)</f>
        <v>0</v>
      </c>
      <c r="F80" s="680">
        <f>IF(E74/0.95-E74&lt;E77,"Exceeds 5%","")</f>
      </c>
      <c r="G80" s="664" t="str">
        <f>summ!H22</f>
        <v>  </v>
      </c>
      <c r="H80" s="624" t="str">
        <f>CONCATENATE("",E1," Fund Mill Rate")</f>
        <v>0 Fund Mill Rate</v>
      </c>
      <c r="I80" s="651"/>
      <c r="J80" s="652"/>
    </row>
    <row r="81" spans="2:10" ht="16.5" thickBot="1">
      <c r="B81" s="16"/>
      <c r="C81" s="1018" t="str">
        <f>CONCATENATE("Amount of  ",$E$1-1," Ad Valorem Tax")</f>
        <v>Amount of  -1 Ad Valorem Tax</v>
      </c>
      <c r="D81" s="1029"/>
      <c r="E81" s="223">
        <f>E79+E80</f>
        <v>0</v>
      </c>
      <c r="G81" s="663" t="str">
        <f>summ!E22</f>
        <v>  </v>
      </c>
      <c r="H81" s="624" t="str">
        <f>CONCATENATE("",E1-1," Fund Mill Rate")</f>
        <v>-1 Fund Mill Rate</v>
      </c>
      <c r="I81" s="651"/>
      <c r="J81" s="652"/>
    </row>
    <row r="82" spans="2:10" ht="16.5" thickTop="1">
      <c r="B82" s="16"/>
      <c r="C82" s="1043"/>
      <c r="D82" s="1043"/>
      <c r="E82" s="16"/>
      <c r="G82" s="665">
        <f>summ!H43</f>
        <v>0</v>
      </c>
      <c r="H82" s="624" t="str">
        <f>CONCATENATE("Total ",E1," Mill Rate")</f>
        <v>Total 0 Mill Rate</v>
      </c>
      <c r="I82" s="651"/>
      <c r="J82" s="652"/>
    </row>
    <row r="83" spans="2:10" ht="15.75">
      <c r="B83" s="961" t="s">
        <v>999</v>
      </c>
      <c r="C83" s="841"/>
      <c r="D83" s="841"/>
      <c r="E83" s="842"/>
      <c r="G83" s="663">
        <f>summ!E43</f>
        <v>0</v>
      </c>
      <c r="H83" s="647" t="str">
        <f>CONCATENATE("Total ",E1-1," Mill Rate")</f>
        <v>Total -1 Mill Rate</v>
      </c>
      <c r="I83" s="648"/>
      <c r="J83" s="649"/>
    </row>
    <row r="84" spans="2:5" ht="15.75">
      <c r="B84" s="48"/>
      <c r="C84" s="321"/>
      <c r="D84" s="321"/>
      <c r="E84" s="613"/>
    </row>
    <row r="85" spans="2:10" ht="15.75">
      <c r="B85" s="512"/>
      <c r="C85" s="843"/>
      <c r="D85" s="843"/>
      <c r="E85" s="55"/>
      <c r="G85" s="776"/>
      <c r="H85" s="793"/>
      <c r="I85" s="775"/>
      <c r="J85" s="792"/>
    </row>
    <row r="86" spans="2:10" ht="15.75">
      <c r="B86" s="16"/>
      <c r="C86" s="16"/>
      <c r="D86" s="16"/>
      <c r="E86" s="16"/>
      <c r="G86" s="765" t="str">
        <f>CONCATENATE("Computed ",E1," tax levy limit amount")</f>
        <v>Computed 0 tax levy limit amount</v>
      </c>
      <c r="H86" s="769"/>
      <c r="I86" s="777"/>
      <c r="J86" s="772">
        <f>Comp1!J47</f>
        <v>0</v>
      </c>
    </row>
    <row r="87" spans="2:10" ht="15.75">
      <c r="B87" s="93" t="s">
        <v>42</v>
      </c>
      <c r="C87" s="711"/>
      <c r="D87" s="16"/>
      <c r="E87" s="16"/>
      <c r="G87" s="763" t="str">
        <f>CONCATENATE("Total ",E1," tax levy amount")</f>
        <v>Total 0 tax levy amount</v>
      </c>
      <c r="H87" s="768"/>
      <c r="I87" s="526"/>
      <c r="J87" s="770">
        <f>summ!G43</f>
        <v>0</v>
      </c>
    </row>
    <row r="97" spans="3:4" ht="15.75" hidden="1">
      <c r="C97" s="335">
        <f>IF(C32&gt;C34,"See Tab A","")</f>
      </c>
      <c r="D97" s="335">
        <f>IF(D32&gt;D34,"See Tab C","")</f>
      </c>
    </row>
    <row r="98" spans="3:4" ht="15.75" hidden="1">
      <c r="C98" s="335">
        <f>IF(C33&lt;0,"See Tab B","")</f>
      </c>
      <c r="D98" s="335">
        <f>IF(D33&lt;0,"See Tab D","")</f>
      </c>
    </row>
    <row r="99" spans="3:4" ht="15.75" hidden="1">
      <c r="C99" s="335">
        <f>IF(C74&gt;C76,"See Tab A","")</f>
      </c>
      <c r="D99" s="335">
        <f>IF(D74&gt;D76,"See Tab C","")</f>
      </c>
    </row>
    <row r="100" spans="3:4" ht="15.75" hidden="1">
      <c r="C100" s="335">
        <f>IF(C75&lt;0,"See Tab B","")</f>
      </c>
      <c r="D100" s="335">
        <f>IF(D75&lt;0,"See Tab D","")</f>
      </c>
    </row>
  </sheetData>
  <sheetProtection/>
  <mergeCells count="14">
    <mergeCell ref="G19:J19"/>
    <mergeCell ref="G26:J26"/>
    <mergeCell ref="G36:J36"/>
    <mergeCell ref="G61:J61"/>
    <mergeCell ref="G68:J68"/>
    <mergeCell ref="G78:J78"/>
    <mergeCell ref="C82:D82"/>
    <mergeCell ref="C40:D40"/>
    <mergeCell ref="C77:D77"/>
    <mergeCell ref="C78:D78"/>
    <mergeCell ref="C35:D35"/>
    <mergeCell ref="C36:D36"/>
    <mergeCell ref="C81:D81"/>
    <mergeCell ref="C39:D39"/>
  </mergeCells>
  <conditionalFormatting sqref="E30">
    <cfRule type="cellIs" priority="3" dxfId="260" operator="greaterThan" stopIfTrue="1">
      <formula>$E$32*0.1</formula>
    </cfRule>
  </conditionalFormatting>
  <conditionalFormatting sqref="E35">
    <cfRule type="cellIs" priority="4" dxfId="260" operator="greaterThan" stopIfTrue="1">
      <formula>$E$32/0.95-$E$32</formula>
    </cfRule>
  </conditionalFormatting>
  <conditionalFormatting sqref="E72">
    <cfRule type="cellIs" priority="5" dxfId="260" operator="greaterThan" stopIfTrue="1">
      <formula>$E$74*0.1</formula>
    </cfRule>
  </conditionalFormatting>
  <conditionalFormatting sqref="E77">
    <cfRule type="cellIs" priority="6" dxfId="260" operator="greaterThan" stopIfTrue="1">
      <formula>$E$74/0.95-$E$74</formula>
    </cfRule>
  </conditionalFormatting>
  <conditionalFormatting sqref="D32">
    <cfRule type="cellIs" priority="7" dxfId="0" operator="greaterThan" stopIfTrue="1">
      <formula>$D$34</formula>
    </cfRule>
  </conditionalFormatting>
  <conditionalFormatting sqref="C32">
    <cfRule type="cellIs" priority="8" dxfId="0" operator="greaterThan" stopIfTrue="1">
      <formula>$C$34</formula>
    </cfRule>
  </conditionalFormatting>
  <conditionalFormatting sqref="C33 C75">
    <cfRule type="cellIs" priority="9" dxfId="0" operator="lessThan" stopIfTrue="1">
      <formula>0</formula>
    </cfRule>
  </conditionalFormatting>
  <conditionalFormatting sqref="D74">
    <cfRule type="cellIs" priority="10" dxfId="0" operator="greaterThan" stopIfTrue="1">
      <formula>$D$76</formula>
    </cfRule>
  </conditionalFormatting>
  <conditionalFormatting sqref="C74">
    <cfRule type="cellIs" priority="11" dxfId="0" operator="greaterThan" stopIfTrue="1">
      <formula>$C$76</formula>
    </cfRule>
  </conditionalFormatting>
  <conditionalFormatting sqref="C30">
    <cfRule type="cellIs" priority="12" dxfId="0" operator="greaterThan" stopIfTrue="1">
      <formula>$C$32*0.1</formula>
    </cfRule>
  </conditionalFormatting>
  <conditionalFormatting sqref="D30">
    <cfRule type="cellIs" priority="13" dxfId="0" operator="greaterThan" stopIfTrue="1">
      <formula>$D$32*0.1</formula>
    </cfRule>
  </conditionalFormatting>
  <conditionalFormatting sqref="C72">
    <cfRule type="cellIs" priority="14" dxfId="0" operator="greaterThan" stopIfTrue="1">
      <formula>$C$74*0.1</formula>
    </cfRule>
  </conditionalFormatting>
  <conditionalFormatting sqref="D72">
    <cfRule type="cellIs" priority="15" dxfId="0" operator="greaterThan" stopIfTrue="1">
      <formula>$D$74*0.1</formula>
    </cfRule>
  </conditionalFormatting>
  <conditionalFormatting sqref="D60">
    <cfRule type="cellIs" priority="16" dxfId="0" operator="greaterThan" stopIfTrue="1">
      <formula>$D$62*0.1</formula>
    </cfRule>
  </conditionalFormatting>
  <conditionalFormatting sqref="C60">
    <cfRule type="cellIs" priority="17" dxfId="0" operator="greaterThan" stopIfTrue="1">
      <formula>$C$62*0.1</formula>
    </cfRule>
  </conditionalFormatting>
  <conditionalFormatting sqref="D18">
    <cfRule type="cellIs" priority="18" dxfId="0" operator="greaterThan" stopIfTrue="1">
      <formula>$D$20*0.1</formula>
    </cfRule>
  </conditionalFormatting>
  <conditionalFormatting sqref="C18">
    <cfRule type="cellIs" priority="19" dxfId="0" operator="greaterThan" stopIfTrue="1">
      <formula>$C$20*0.1</formula>
    </cfRule>
  </conditionalFormatting>
  <conditionalFormatting sqref="E60">
    <cfRule type="cellIs" priority="20" dxfId="260" operator="greaterThan" stopIfTrue="1">
      <formula>$E$62*0.1+E81</formula>
    </cfRule>
  </conditionalFormatting>
  <conditionalFormatting sqref="E18">
    <cfRule type="cellIs" priority="21" dxfId="260" operator="greaterThan" stopIfTrue="1">
      <formula>$E$20*0.1+E39</formula>
    </cfRule>
  </conditionalFormatting>
  <conditionalFormatting sqref="D75 D33">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B84" sqref="B84"/>
    </sheetView>
  </sheetViews>
  <sheetFormatPr defaultColWidth="8.796875" defaultRowHeight="15"/>
  <cols>
    <col min="1" max="1" width="2.3984375" style="17" customWidth="1"/>
    <col min="2" max="2" width="31.09765625" style="17" customWidth="1"/>
    <col min="3" max="4" width="15.796875" style="17" customWidth="1"/>
    <col min="5" max="5" width="16.09765625" style="17" customWidth="1"/>
    <col min="6" max="6" width="8.8984375" style="17" customWidth="1"/>
    <col min="7" max="7" width="10.19921875" style="17" customWidth="1"/>
    <col min="8" max="8" width="8.8984375" style="17" customWidth="1"/>
    <col min="9" max="9" width="5.3984375" style="17" customWidth="1"/>
    <col min="10" max="10" width="10" style="17" customWidth="1"/>
    <col min="11" max="16384" width="8.8984375" style="17" customWidth="1"/>
  </cols>
  <sheetData>
    <row r="1" spans="2:5" ht="15.75">
      <c r="B1" s="124">
        <f>(inputPrYr!D3)</f>
        <v>0</v>
      </c>
      <c r="C1" s="16"/>
      <c r="D1" s="16"/>
      <c r="E1" s="177">
        <f>inputPrYr!C6</f>
        <v>0</v>
      </c>
    </row>
    <row r="2" spans="2:5" ht="15.75">
      <c r="B2" s="16"/>
      <c r="C2" s="16"/>
      <c r="D2" s="16"/>
      <c r="E2" s="120"/>
    </row>
    <row r="3" spans="2:5" ht="15.75">
      <c r="B3" s="27" t="s">
        <v>91</v>
      </c>
      <c r="C3" s="136"/>
      <c r="D3" s="136"/>
      <c r="E3" s="220"/>
    </row>
    <row r="4" spans="2:5" ht="15.75">
      <c r="B4" s="19" t="s">
        <v>23</v>
      </c>
      <c r="C4" s="592" t="s">
        <v>758</v>
      </c>
      <c r="D4" s="593" t="s">
        <v>761</v>
      </c>
      <c r="E4" s="99" t="s">
        <v>762</v>
      </c>
    </row>
    <row r="5" spans="2:5" ht="15.75">
      <c r="B5" s="330">
        <f>inputPrYr!B30</f>
        <v>0</v>
      </c>
      <c r="C5" s="314" t="str">
        <f>CONCATENATE("Actual for ",E1-2,"")</f>
        <v>Actual for -2</v>
      </c>
      <c r="D5" s="314" t="str">
        <f>CONCATENATE("Estimate for ",E1-1,"")</f>
        <v>Estimate for -1</v>
      </c>
      <c r="E5" s="187" t="str">
        <f>CONCATENATE("Year for ",E1,"")</f>
        <v>Year for 0</v>
      </c>
    </row>
    <row r="6" spans="2:5" ht="15.75">
      <c r="B6" s="188" t="s">
        <v>133</v>
      </c>
      <c r="C6" s="189"/>
      <c r="D6" s="313">
        <f>C36</f>
        <v>0</v>
      </c>
      <c r="E6" s="158">
        <f>D36</f>
        <v>0</v>
      </c>
    </row>
    <row r="7" spans="2:5" ht="15.75">
      <c r="B7" s="188" t="s">
        <v>135</v>
      </c>
      <c r="C7" s="113"/>
      <c r="D7" s="113"/>
      <c r="E7" s="51"/>
    </row>
    <row r="8" spans="2:5" ht="15.75">
      <c r="B8" s="105" t="s">
        <v>24</v>
      </c>
      <c r="C8" s="189"/>
      <c r="D8" s="313">
        <f>IF(inputPrYr!H21&gt;0,inputPrYr!G30,inputPrYr!E30)</f>
        <v>0</v>
      </c>
      <c r="E8" s="217" t="s">
        <v>13</v>
      </c>
    </row>
    <row r="9" spans="2:5" ht="15.75">
      <c r="B9" s="105" t="s">
        <v>25</v>
      </c>
      <c r="C9" s="189"/>
      <c r="D9" s="189"/>
      <c r="E9" s="36"/>
    </row>
    <row r="10" spans="2:5" ht="15.75">
      <c r="B10" s="105" t="s">
        <v>26</v>
      </c>
      <c r="C10" s="189"/>
      <c r="D10" s="189"/>
      <c r="E10" s="158" t="str">
        <f>mvalloc!D14</f>
        <v>  </v>
      </c>
    </row>
    <row r="11" spans="2:5" ht="15.75">
      <c r="B11" s="105" t="s">
        <v>27</v>
      </c>
      <c r="C11" s="189"/>
      <c r="D11" s="189"/>
      <c r="E11" s="158" t="str">
        <f>mvalloc!E14</f>
        <v> </v>
      </c>
    </row>
    <row r="12" spans="2:5" ht="15.75">
      <c r="B12" s="113" t="s">
        <v>122</v>
      </c>
      <c r="C12" s="189"/>
      <c r="D12" s="189"/>
      <c r="E12" s="158" t="str">
        <f>mvalloc!F14</f>
        <v> </v>
      </c>
    </row>
    <row r="13" spans="2:5" ht="15.75">
      <c r="B13" s="757" t="s">
        <v>978</v>
      </c>
      <c r="C13" s="189"/>
      <c r="D13" s="189"/>
      <c r="E13" s="158" t="str">
        <f>mvalloc!G14</f>
        <v> </v>
      </c>
    </row>
    <row r="14" spans="2:5" ht="15.75">
      <c r="B14" s="757" t="s">
        <v>979</v>
      </c>
      <c r="C14" s="189"/>
      <c r="D14" s="189"/>
      <c r="E14" s="158" t="str">
        <f>mvalloc!H14</f>
        <v> </v>
      </c>
    </row>
    <row r="15" spans="2:5" ht="15.75">
      <c r="B15" s="36"/>
      <c r="C15" s="189"/>
      <c r="D15" s="189"/>
      <c r="E15" s="36"/>
    </row>
    <row r="16" spans="2:5" ht="15.75">
      <c r="B16" s="204"/>
      <c r="C16" s="189"/>
      <c r="D16" s="189"/>
      <c r="E16" s="36"/>
    </row>
    <row r="17" spans="2:5" ht="15.75">
      <c r="B17" s="204"/>
      <c r="C17" s="189"/>
      <c r="D17" s="189"/>
      <c r="E17" s="36"/>
    </row>
    <row r="18" spans="2:5" ht="15.75">
      <c r="B18" s="204"/>
      <c r="C18" s="189"/>
      <c r="D18" s="189"/>
      <c r="E18" s="36"/>
    </row>
    <row r="19" spans="2:10" ht="15.75">
      <c r="B19" s="196" t="s">
        <v>31</v>
      </c>
      <c r="C19" s="189"/>
      <c r="D19" s="189"/>
      <c r="E19" s="36"/>
      <c r="G19" s="1040" t="str">
        <f>CONCATENATE("Desired Carryover Into ",E1+1,"")</f>
        <v>Desired Carryover Into 1</v>
      </c>
      <c r="H19" s="1030"/>
      <c r="I19" s="1030"/>
      <c r="J19" s="1031"/>
    </row>
    <row r="20" spans="2:10" ht="15.75">
      <c r="B20" s="205" t="s">
        <v>237</v>
      </c>
      <c r="C20" s="189"/>
      <c r="D20" s="189"/>
      <c r="E20" s="821">
        <f>nhood!E13*-1</f>
        <v>0</v>
      </c>
      <c r="G20" s="632"/>
      <c r="H20" s="619"/>
      <c r="I20" s="626"/>
      <c r="J20" s="633"/>
    </row>
    <row r="21" spans="2:10" ht="15.75">
      <c r="B21" s="113" t="s">
        <v>236</v>
      </c>
      <c r="C21" s="189"/>
      <c r="D21" s="189"/>
      <c r="E21" s="36"/>
      <c r="G21" s="631" t="s">
        <v>592</v>
      </c>
      <c r="H21" s="626"/>
      <c r="I21" s="626"/>
      <c r="J21" s="620">
        <v>0</v>
      </c>
    </row>
    <row r="22" spans="2:10" ht="15.75">
      <c r="B22" s="188" t="s">
        <v>746</v>
      </c>
      <c r="C22" s="315">
        <f>IF(C23*0.1&lt;C21,"Exceed 10% Rule","")</f>
      </c>
      <c r="D22" s="315">
        <f>IF(D23*0.1&lt;D21,"Exceed 10% Rule","")</f>
      </c>
      <c r="E22" s="332">
        <f>IF(E23*0.1+E42&lt;E21,"Exceed 10% Rule","")</f>
      </c>
      <c r="G22" s="632" t="s">
        <v>593</v>
      </c>
      <c r="H22" s="619"/>
      <c r="I22" s="619"/>
      <c r="J22" s="657">
        <f>IF(J21=0,"",ROUND((J21+E42-G34)/inputOth!E7*1000,3)-G39)</f>
      </c>
    </row>
    <row r="23" spans="2:10" ht="15.75">
      <c r="B23" s="198" t="s">
        <v>32</v>
      </c>
      <c r="C23" s="316">
        <f>SUM(C8:C21)</f>
        <v>0</v>
      </c>
      <c r="D23" s="316">
        <f>SUM(D8:D21)</f>
        <v>0</v>
      </c>
      <c r="E23" s="222">
        <f>SUM(E8:E21)</f>
        <v>0</v>
      </c>
      <c r="G23" s="655" t="str">
        <f>CONCATENATE("",E1," Tot Exp/Non-Appr Must Be:")</f>
        <v>0 Tot Exp/Non-Appr Must Be:</v>
      </c>
      <c r="H23" s="653"/>
      <c r="I23" s="654"/>
      <c r="J23" s="650">
        <f>IF(J21&gt;0,IF(E39&lt;E24,IF(J21=G34,E39,((J21-G34)*(1-D41))+E24),E39+(J21-G34)),0)</f>
        <v>0</v>
      </c>
    </row>
    <row r="24" spans="2:10" ht="15.75">
      <c r="B24" s="198" t="s">
        <v>33</v>
      </c>
      <c r="C24" s="316">
        <f>C6+C23</f>
        <v>0</v>
      </c>
      <c r="D24" s="316">
        <f>D6+D23</f>
        <v>0</v>
      </c>
      <c r="E24" s="222">
        <f>E6+E23</f>
        <v>0</v>
      </c>
      <c r="G24" s="548" t="s">
        <v>763</v>
      </c>
      <c r="H24" s="660"/>
      <c r="I24" s="660"/>
      <c r="J24" s="656">
        <f>IF(J21&gt;0,J23-E39,0)</f>
        <v>0</v>
      </c>
    </row>
    <row r="25" spans="2:10" ht="15.75">
      <c r="B25" s="105" t="s">
        <v>35</v>
      </c>
      <c r="C25" s="205"/>
      <c r="D25" s="205"/>
      <c r="E25" s="34"/>
      <c r="J25" s="610"/>
    </row>
    <row r="26" spans="2:10" ht="15.75">
      <c r="B26" s="204"/>
      <c r="C26" s="189"/>
      <c r="D26" s="189"/>
      <c r="E26" s="36"/>
      <c r="G26" s="1040" t="str">
        <f>CONCATENATE("Projected Carryover Into ",E1+1,"")</f>
        <v>Projected Carryover Into 1</v>
      </c>
      <c r="H26" s="1036"/>
      <c r="I26" s="1036"/>
      <c r="J26" s="1045"/>
    </row>
    <row r="27" spans="2:10" ht="15.75">
      <c r="B27" s="204"/>
      <c r="C27" s="189"/>
      <c r="D27" s="189"/>
      <c r="E27" s="36"/>
      <c r="G27" s="632"/>
      <c r="H27" s="626"/>
      <c r="I27" s="626"/>
      <c r="J27" s="669"/>
    </row>
    <row r="28" spans="2:10" ht="15.75">
      <c r="B28" s="204"/>
      <c r="C28" s="189"/>
      <c r="D28" s="189"/>
      <c r="E28" s="36"/>
      <c r="G28" s="623">
        <f>D36</f>
        <v>0</v>
      </c>
      <c r="H28" s="624" t="str">
        <f>CONCATENATE("",E1-1," Ending Cash Balance (est.)")</f>
        <v>-1 Ending Cash Balance (est.)</v>
      </c>
      <c r="I28" s="625"/>
      <c r="J28" s="669"/>
    </row>
    <row r="29" spans="2:10" ht="15.75">
      <c r="B29" s="204"/>
      <c r="C29" s="189"/>
      <c r="D29" s="189"/>
      <c r="E29" s="36"/>
      <c r="G29" s="623">
        <f>E23</f>
        <v>0</v>
      </c>
      <c r="H29" s="626" t="str">
        <f>CONCATENATE("",E1," Non-AV Receipts (est.)")</f>
        <v>0 Non-AV Receipts (est.)</v>
      </c>
      <c r="I29" s="625"/>
      <c r="J29" s="669"/>
    </row>
    <row r="30" spans="2:11" ht="15.75">
      <c r="B30" s="204"/>
      <c r="C30" s="189"/>
      <c r="D30" s="189"/>
      <c r="E30" s="36"/>
      <c r="G30" s="627">
        <f>IF(D41&gt;0,E40,E42)</f>
        <v>0</v>
      </c>
      <c r="H30" s="626" t="str">
        <f>CONCATENATE("",E1," Ad Valorem Tax (est.)")</f>
        <v>0 Ad Valorem Tax (est.)</v>
      </c>
      <c r="I30" s="625"/>
      <c r="J30" s="669"/>
      <c r="K30" s="551">
        <f>IF(G30=E42,"","Note: Does not include Delinquent Taxes")</f>
      </c>
    </row>
    <row r="31" spans="2:10" ht="15.75">
      <c r="B31" s="204"/>
      <c r="C31" s="189"/>
      <c r="D31" s="189"/>
      <c r="E31" s="36"/>
      <c r="G31" s="623">
        <f>SUM(G28:G30)</f>
        <v>0</v>
      </c>
      <c r="H31" s="626" t="str">
        <f>CONCATENATE("Total ",E1," Resources Available")</f>
        <v>Total 0 Resources Available</v>
      </c>
      <c r="I31" s="625"/>
      <c r="J31" s="669"/>
    </row>
    <row r="32" spans="2:10" ht="15.75">
      <c r="B32" s="205" t="str">
        <f>CONCATENATE("Cash Forward (",E1," column)")</f>
        <v>Cash Forward (0 column)</v>
      </c>
      <c r="C32" s="189"/>
      <c r="D32" s="189"/>
      <c r="E32" s="36"/>
      <c r="G32" s="628"/>
      <c r="H32" s="626"/>
      <c r="I32" s="626"/>
      <c r="J32" s="669"/>
    </row>
    <row r="33" spans="2:10" ht="15.75">
      <c r="B33" s="205" t="s">
        <v>236</v>
      </c>
      <c r="C33" s="189"/>
      <c r="D33" s="189"/>
      <c r="E33" s="36"/>
      <c r="G33" s="627">
        <f>ROUND(C35*0.05+C35,0)</f>
        <v>0</v>
      </c>
      <c r="H33" s="626" t="str">
        <f>CONCATENATE("Less ",E1-2," Expenditures + 5%")</f>
        <v>Less -2 Expenditures + 5%</v>
      </c>
      <c r="I33" s="625"/>
      <c r="J33" s="669"/>
    </row>
    <row r="34" spans="2:10" ht="15.75">
      <c r="B34" s="205" t="s">
        <v>747</v>
      </c>
      <c r="C34" s="315">
        <f>IF(C35*0.1&lt;C33,"Exceed 10% Rule","")</f>
      </c>
      <c r="D34" s="315">
        <f>IF(D35*0.1&lt;D33,"Exceed 10% Rule","")</f>
      </c>
      <c r="E34" s="332">
        <f>IF(E35*0.1&lt;E33,"Exceed 10% Rule","")</f>
      </c>
      <c r="G34" s="658">
        <f>G31-G33</f>
        <v>0</v>
      </c>
      <c r="H34" s="659" t="str">
        <f>CONCATENATE("Projected ",E1+1," carryover (est.)")</f>
        <v>Projected 1 carryover (est.)</v>
      </c>
      <c r="I34" s="629"/>
      <c r="J34" s="667"/>
    </row>
    <row r="35" spans="2:10" ht="15.75">
      <c r="B35" s="198" t="s">
        <v>39</v>
      </c>
      <c r="C35" s="316">
        <f>SUM(C26:C33)</f>
        <v>0</v>
      </c>
      <c r="D35" s="316">
        <f>SUM(D26:D33)</f>
        <v>0</v>
      </c>
      <c r="E35" s="222">
        <f>SUM(E26:E33)</f>
        <v>0</v>
      </c>
      <c r="G35" s="610"/>
      <c r="H35" s="610"/>
      <c r="I35" s="610"/>
      <c r="J35" s="610"/>
    </row>
    <row r="36" spans="2:10" ht="15.75">
      <c r="B36" s="105" t="s">
        <v>134</v>
      </c>
      <c r="C36" s="313">
        <f>C24-C35</f>
        <v>0</v>
      </c>
      <c r="D36" s="313">
        <f>D24-D35</f>
        <v>0</v>
      </c>
      <c r="E36" s="217" t="s">
        <v>13</v>
      </c>
      <c r="G36" s="1032" t="s">
        <v>819</v>
      </c>
      <c r="H36" s="1033"/>
      <c r="I36" s="1033"/>
      <c r="J36" s="1034"/>
    </row>
    <row r="37" spans="2:10" ht="15.75">
      <c r="B37" s="122" t="str">
        <f>CONCATENATE("",E1-2,"/",E1-1,"/",E1," Budget Authority Amount:")</f>
        <v>-2/-1/0 Budget Authority Amount:</v>
      </c>
      <c r="C37" s="478">
        <f>inputOth!B71</f>
        <v>0</v>
      </c>
      <c r="D37" s="685">
        <f>inputPrYr!D30</f>
        <v>0</v>
      </c>
      <c r="E37" s="158">
        <f>E35</f>
        <v>0</v>
      </c>
      <c r="F37" s="207"/>
      <c r="G37" s="662"/>
      <c r="H37" s="624"/>
      <c r="I37" s="651"/>
      <c r="J37" s="652"/>
    </row>
    <row r="38" spans="2:10" ht="15.75">
      <c r="B38" s="93"/>
      <c r="C38" s="1025" t="s">
        <v>584</v>
      </c>
      <c r="D38" s="1026"/>
      <c r="E38" s="36"/>
      <c r="F38" s="680">
        <f>IF(E35/0.95-E35&lt;E38,"Exceeds 5%","")</f>
      </c>
      <c r="G38" s="664" t="str">
        <f>summ!H23</f>
        <v>  </v>
      </c>
      <c r="H38" s="624" t="str">
        <f>CONCATENATE("",E1," Fund Mill Rate")</f>
        <v>0 Fund Mill Rate</v>
      </c>
      <c r="I38" s="651"/>
      <c r="J38" s="652"/>
    </row>
    <row r="39" spans="2:10" ht="15.75">
      <c r="B39" s="334" t="str">
        <f>CONCATENATE(C97,"     ",D97)</f>
        <v>     </v>
      </c>
      <c r="C39" s="1027" t="s">
        <v>585</v>
      </c>
      <c r="D39" s="1028"/>
      <c r="E39" s="158">
        <f>E35+E38</f>
        <v>0</v>
      </c>
      <c r="G39" s="663" t="str">
        <f>summ!E23</f>
        <v>  </v>
      </c>
      <c r="H39" s="624" t="str">
        <f>CONCATENATE("",E1-1," Fund Mill Rate")</f>
        <v>-1 Fund Mill Rate</v>
      </c>
      <c r="I39" s="651"/>
      <c r="J39" s="652"/>
    </row>
    <row r="40" spans="2:10" ht="15.75">
      <c r="B40" s="334" t="str">
        <f>CONCATENATE(C98,"     ",D98)</f>
        <v>     </v>
      </c>
      <c r="C40" s="208"/>
      <c r="D40" s="120" t="s">
        <v>40</v>
      </c>
      <c r="E40" s="158">
        <f>IF(E39-E24&gt;0,E39-E24,0)</f>
        <v>0</v>
      </c>
      <c r="G40" s="665">
        <f>summ!H43</f>
        <v>0</v>
      </c>
      <c r="H40" s="624" t="str">
        <f>CONCATENATE("Total ",E1," Mill Rate")</f>
        <v>Total 0 Mill Rate</v>
      </c>
      <c r="I40" s="651"/>
      <c r="J40" s="652"/>
    </row>
    <row r="41" spans="2:10" ht="15.75">
      <c r="B41" s="120"/>
      <c r="C41" s="320" t="s">
        <v>586</v>
      </c>
      <c r="D41" s="550">
        <f>inputOth!$E$50</f>
        <v>0</v>
      </c>
      <c r="E41" s="158">
        <f>ROUND(IF(D41&gt;0,(E40*D41),0),0)</f>
        <v>0</v>
      </c>
      <c r="G41" s="663">
        <f>summ!E43</f>
        <v>0</v>
      </c>
      <c r="H41" s="647" t="str">
        <f>CONCATENATE("Total ",E1-1," Mill Rate")</f>
        <v>Total -1 Mill Rate</v>
      </c>
      <c r="I41" s="648"/>
      <c r="J41" s="649"/>
    </row>
    <row r="42" spans="2:5" ht="16.5" thickBot="1">
      <c r="B42" s="16"/>
      <c r="C42" s="1018" t="str">
        <f>CONCATENATE("Amount of  ",$E$1-1," Ad Valorem Tax")</f>
        <v>Amount of  -1 Ad Valorem Tax</v>
      </c>
      <c r="D42" s="1029"/>
      <c r="E42" s="223">
        <f>E40+E41</f>
        <v>0</v>
      </c>
    </row>
    <row r="43" spans="2:10" ht="16.5" thickTop="1">
      <c r="B43" s="16"/>
      <c r="C43" s="1043"/>
      <c r="D43" s="1043"/>
      <c r="E43" s="16"/>
      <c r="G43" s="776"/>
      <c r="H43" s="793"/>
      <c r="I43" s="775"/>
      <c r="J43" s="792"/>
    </row>
    <row r="44" spans="2:10" ht="15.75">
      <c r="B44" s="16"/>
      <c r="C44" s="16"/>
      <c r="D44" s="16"/>
      <c r="E44" s="16"/>
      <c r="G44" s="765" t="str">
        <f>CONCATENATE("Computed ",E1," tax levy limit amount")</f>
        <v>Computed 0 tax levy limit amount</v>
      </c>
      <c r="H44" s="777"/>
      <c r="I44" s="777"/>
      <c r="J44" s="772">
        <f>Comp1!J47</f>
        <v>0</v>
      </c>
    </row>
    <row r="45" spans="2:10" ht="15.75">
      <c r="B45" s="19"/>
      <c r="C45" s="221"/>
      <c r="D45" s="221"/>
      <c r="E45" s="221"/>
      <c r="G45" s="763" t="str">
        <f>CONCATENATE("Total ",E1," tax levy amount")</f>
        <v>Total 0 tax levy amount</v>
      </c>
      <c r="H45" s="526"/>
      <c r="I45" s="526"/>
      <c r="J45" s="770">
        <f>summ!G43</f>
        <v>0</v>
      </c>
    </row>
    <row r="46" spans="2:5" ht="15.75">
      <c r="B46" s="19" t="s">
        <v>23</v>
      </c>
      <c r="C46" s="592" t="str">
        <f aca="true" t="shared" si="0" ref="C46:E47">C4</f>
        <v>Prior Year </v>
      </c>
      <c r="D46" s="593" t="str">
        <f t="shared" si="0"/>
        <v>Current Year </v>
      </c>
      <c r="E46" s="99" t="str">
        <f t="shared" si="0"/>
        <v>Proposed Budget </v>
      </c>
    </row>
    <row r="47" spans="2:5" ht="15.75">
      <c r="B47" s="331">
        <f>inputPrYr!B31</f>
        <v>0</v>
      </c>
      <c r="C47" s="314" t="str">
        <f t="shared" si="0"/>
        <v>Actual for -2</v>
      </c>
      <c r="D47" s="314" t="str">
        <f t="shared" si="0"/>
        <v>Estimate for -1</v>
      </c>
      <c r="E47" s="143" t="str">
        <f t="shared" si="0"/>
        <v>Year for 0</v>
      </c>
    </row>
    <row r="48" spans="2:5" ht="15.75">
      <c r="B48" s="188" t="s">
        <v>133</v>
      </c>
      <c r="C48" s="189"/>
      <c r="D48" s="313">
        <f>C76</f>
        <v>0</v>
      </c>
      <c r="E48" s="158">
        <f>D76</f>
        <v>0</v>
      </c>
    </row>
    <row r="49" spans="2:5" ht="15.75">
      <c r="B49" s="191" t="s">
        <v>135</v>
      </c>
      <c r="C49" s="113"/>
      <c r="D49" s="113"/>
      <c r="E49" s="51"/>
    </row>
    <row r="50" spans="2:5" ht="15.75">
      <c r="B50" s="105" t="s">
        <v>24</v>
      </c>
      <c r="C50" s="189"/>
      <c r="D50" s="313">
        <f>IF(inputPrYr!H21&gt;0,inputPrYr!G31,inputPrYr!E31)</f>
        <v>0</v>
      </c>
      <c r="E50" s="217" t="s">
        <v>13</v>
      </c>
    </row>
    <row r="51" spans="2:5" ht="15.75">
      <c r="B51" s="105" t="s">
        <v>25</v>
      </c>
      <c r="C51" s="189"/>
      <c r="D51" s="189"/>
      <c r="E51" s="36"/>
    </row>
    <row r="52" spans="2:5" ht="15.75">
      <c r="B52" s="105" t="s">
        <v>26</v>
      </c>
      <c r="C52" s="189"/>
      <c r="D52" s="189"/>
      <c r="E52" s="158" t="str">
        <f>mvalloc!D15</f>
        <v>  </v>
      </c>
    </row>
    <row r="53" spans="2:5" ht="15.75">
      <c r="B53" s="105" t="s">
        <v>27</v>
      </c>
      <c r="C53" s="189"/>
      <c r="D53" s="189"/>
      <c r="E53" s="158" t="str">
        <f>mvalloc!E15</f>
        <v> </v>
      </c>
    </row>
    <row r="54" spans="2:5" ht="15.75">
      <c r="B54" s="113" t="s">
        <v>122</v>
      </c>
      <c r="C54" s="189"/>
      <c r="D54" s="189"/>
      <c r="E54" s="158" t="str">
        <f>mvalloc!F15</f>
        <v> </v>
      </c>
    </row>
    <row r="55" spans="2:5" ht="15.75">
      <c r="B55" s="757" t="s">
        <v>978</v>
      </c>
      <c r="C55" s="189"/>
      <c r="D55" s="189"/>
      <c r="E55" s="158" t="str">
        <f>mvalloc!G15</f>
        <v> </v>
      </c>
    </row>
    <row r="56" spans="2:5" ht="15.75">
      <c r="B56" s="757" t="s">
        <v>979</v>
      </c>
      <c r="C56" s="189"/>
      <c r="D56" s="189"/>
      <c r="E56" s="158" t="str">
        <f>mvalloc!H15</f>
        <v> </v>
      </c>
    </row>
    <row r="57" spans="2:5" ht="15.75">
      <c r="B57" s="36"/>
      <c r="C57" s="189"/>
      <c r="D57" s="189"/>
      <c r="E57" s="36"/>
    </row>
    <row r="58" spans="2:5" ht="15.75">
      <c r="B58" s="204"/>
      <c r="C58" s="189"/>
      <c r="D58" s="189"/>
      <c r="E58" s="36"/>
    </row>
    <row r="59" spans="2:5" ht="15.75">
      <c r="B59" s="196" t="s">
        <v>31</v>
      </c>
      <c r="C59" s="189"/>
      <c r="D59" s="189"/>
      <c r="E59" s="36"/>
    </row>
    <row r="60" spans="2:5" ht="15.75">
      <c r="B60" s="205" t="s">
        <v>237</v>
      </c>
      <c r="C60" s="189"/>
      <c r="D60" s="189"/>
      <c r="E60" s="821">
        <f>nhood!E14*-1</f>
        <v>0</v>
      </c>
    </row>
    <row r="61" spans="2:10" ht="15.75">
      <c r="B61" s="113" t="s">
        <v>236</v>
      </c>
      <c r="C61" s="189"/>
      <c r="D61" s="189"/>
      <c r="E61" s="36"/>
      <c r="G61" s="1040" t="str">
        <f>CONCATENATE("Desired Carryover Into ",E1+1,"")</f>
        <v>Desired Carryover Into 1</v>
      </c>
      <c r="H61" s="1030"/>
      <c r="I61" s="1030"/>
      <c r="J61" s="1031"/>
    </row>
    <row r="62" spans="2:10" ht="15.75">
      <c r="B62" s="188" t="s">
        <v>746</v>
      </c>
      <c r="C62" s="315">
        <f>IF(C63*0.1&lt;C61,"Exceed 10% Rule","")</f>
      </c>
      <c r="D62" s="315">
        <f>IF(D63*0.1&lt;D61,"Exceed 10% Rule","")</f>
      </c>
      <c r="E62" s="332">
        <f>IF(E63*0.1+E82&lt;E61,"Exceed 10% Rule","")</f>
      </c>
      <c r="G62" s="632"/>
      <c r="H62" s="619"/>
      <c r="I62" s="626"/>
      <c r="J62" s="633"/>
    </row>
    <row r="63" spans="2:10" ht="15.75">
      <c r="B63" s="198" t="s">
        <v>32</v>
      </c>
      <c r="C63" s="316">
        <f>SUM(C50:C61)</f>
        <v>0</v>
      </c>
      <c r="D63" s="316">
        <f>SUM(D50:D61)</f>
        <v>0</v>
      </c>
      <c r="E63" s="222">
        <f>SUM(E50:E61)</f>
        <v>0</v>
      </c>
      <c r="G63" s="631" t="s">
        <v>592</v>
      </c>
      <c r="H63" s="626"/>
      <c r="I63" s="626"/>
      <c r="J63" s="620">
        <v>0</v>
      </c>
    </row>
    <row r="64" spans="2:10" ht="15.75">
      <c r="B64" s="198" t="s">
        <v>33</v>
      </c>
      <c r="C64" s="316">
        <f>C48+C63</f>
        <v>0</v>
      </c>
      <c r="D64" s="316">
        <f>D48+D63</f>
        <v>0</v>
      </c>
      <c r="E64" s="222">
        <f>E48+E63</f>
        <v>0</v>
      </c>
      <c r="G64" s="632" t="s">
        <v>593</v>
      </c>
      <c r="H64" s="619"/>
      <c r="I64" s="619"/>
      <c r="J64" s="657">
        <f>IF(J63=0,"",ROUND((J63+E82-G76)/inputOth!E7*1000,3)-G81)</f>
      </c>
    </row>
    <row r="65" spans="2:10" ht="15.75">
      <c r="B65" s="105" t="s">
        <v>35</v>
      </c>
      <c r="C65" s="205"/>
      <c r="D65" s="205"/>
      <c r="E65" s="34"/>
      <c r="G65" s="655" t="str">
        <f>CONCATENATE("",E1," Tot Exp/Non-Appr Must Be:")</f>
        <v>0 Tot Exp/Non-Appr Must Be:</v>
      </c>
      <c r="H65" s="653"/>
      <c r="I65" s="654"/>
      <c r="J65" s="650">
        <f>IF(J63&gt;0,IF(E79&lt;E64,IF(J63=G76,E79,((J63-G76)*(1-D81))+E64),E79+(J63-G76)),0)</f>
        <v>0</v>
      </c>
    </row>
    <row r="66" spans="2:10" ht="15.75">
      <c r="B66" s="204"/>
      <c r="C66" s="189"/>
      <c r="D66" s="189"/>
      <c r="E66" s="36"/>
      <c r="G66" s="548" t="s">
        <v>763</v>
      </c>
      <c r="H66" s="660"/>
      <c r="I66" s="660"/>
      <c r="J66" s="656">
        <f>IF(J63&gt;0,J65-E79,0)</f>
        <v>0</v>
      </c>
    </row>
    <row r="67" spans="2:10" ht="15.75">
      <c r="B67" s="204"/>
      <c r="C67" s="189"/>
      <c r="D67" s="189"/>
      <c r="E67" s="36"/>
      <c r="J67" s="610"/>
    </row>
    <row r="68" spans="2:10" ht="15.75">
      <c r="B68" s="204"/>
      <c r="C68" s="189"/>
      <c r="D68" s="189"/>
      <c r="E68" s="36"/>
      <c r="G68" s="1040" t="str">
        <f>CONCATENATE("Projected Carryover Into ",E1+1,"")</f>
        <v>Projected Carryover Into 1</v>
      </c>
      <c r="H68" s="1046"/>
      <c r="I68" s="1046"/>
      <c r="J68" s="1045"/>
    </row>
    <row r="69" spans="2:10" ht="15.75">
      <c r="B69" s="204"/>
      <c r="C69" s="189"/>
      <c r="D69" s="189"/>
      <c r="E69" s="36"/>
      <c r="G69" s="621"/>
      <c r="H69" s="619"/>
      <c r="I69" s="619"/>
      <c r="J69" s="669"/>
    </row>
    <row r="70" spans="2:10" ht="15.75">
      <c r="B70" s="204"/>
      <c r="C70" s="189"/>
      <c r="D70" s="189"/>
      <c r="E70" s="36"/>
      <c r="G70" s="623">
        <f>D76</f>
        <v>0</v>
      </c>
      <c r="H70" s="624" t="str">
        <f>CONCATENATE("",E1-1," Ending Cash Balance (est.)")</f>
        <v>-1 Ending Cash Balance (est.)</v>
      </c>
      <c r="I70" s="625"/>
      <c r="J70" s="669"/>
    </row>
    <row r="71" spans="2:10" ht="15.75">
      <c r="B71" s="204"/>
      <c r="C71" s="189"/>
      <c r="D71" s="189"/>
      <c r="E71" s="36"/>
      <c r="G71" s="623">
        <f>E63</f>
        <v>0</v>
      </c>
      <c r="H71" s="626" t="str">
        <f>CONCATENATE("",E1," Non-AV Receipts (est.)")</f>
        <v>0 Non-AV Receipts (est.)</v>
      </c>
      <c r="I71" s="625"/>
      <c r="J71" s="669"/>
    </row>
    <row r="72" spans="2:11" ht="15.75">
      <c r="B72" s="205" t="str">
        <f>CONCATENATE("Cash Forward (",E1," column)")</f>
        <v>Cash Forward (0 column)</v>
      </c>
      <c r="C72" s="189"/>
      <c r="D72" s="189"/>
      <c r="E72" s="36"/>
      <c r="G72" s="627">
        <f>IF(D81&gt;0,E80,E82)</f>
        <v>0</v>
      </c>
      <c r="H72" s="626" t="str">
        <f>CONCATENATE("",E1," Ad Valorem Tax (est.)")</f>
        <v>0 Ad Valorem Tax (est.)</v>
      </c>
      <c r="I72" s="625"/>
      <c r="J72" s="669"/>
      <c r="K72" s="551">
        <f>IF(G72=E82,"","Note: Does not include Delinquent Taxes")</f>
      </c>
    </row>
    <row r="73" spans="2:10" ht="15.75">
      <c r="B73" s="205" t="s">
        <v>236</v>
      </c>
      <c r="C73" s="189"/>
      <c r="D73" s="189"/>
      <c r="E73" s="36"/>
      <c r="G73" s="634">
        <f>SUM(G70:G72)</f>
        <v>0</v>
      </c>
      <c r="H73" s="626" t="str">
        <f>CONCATENATE("Total ",E1," Resources Available")</f>
        <v>Total 0 Resources Available</v>
      </c>
      <c r="I73" s="622"/>
      <c r="J73" s="669"/>
    </row>
    <row r="74" spans="2:10" ht="15.75">
      <c r="B74" s="205" t="s">
        <v>747</v>
      </c>
      <c r="C74" s="315">
        <f>IF(C75*0.1&lt;C73,"Exceed 10% Rule","")</f>
      </c>
      <c r="D74" s="315">
        <f>IF(D75*0.1&lt;D73,"Exceed 10% Rule","")</f>
      </c>
      <c r="E74" s="332">
        <f>IF(E75*0.1&lt;E73,"Exceed 10% Rule","")</f>
      </c>
      <c r="G74" s="637"/>
      <c r="H74" s="635"/>
      <c r="I74" s="619"/>
      <c r="J74" s="669"/>
    </row>
    <row r="75" spans="2:10" ht="15.75">
      <c r="B75" s="198" t="s">
        <v>39</v>
      </c>
      <c r="C75" s="316">
        <f>SUM(C66:C73)</f>
        <v>0</v>
      </c>
      <c r="D75" s="316">
        <f>SUM(D66:D73)</f>
        <v>0</v>
      </c>
      <c r="E75" s="222">
        <f>SUM(E66:E73)</f>
        <v>0</v>
      </c>
      <c r="G75" s="636">
        <f>ROUND(C75*0.05+C75,0)</f>
        <v>0</v>
      </c>
      <c r="H75" s="635" t="str">
        <f>CONCATENATE("Less ",E1-2," Expenditures + 5%")</f>
        <v>Less -2 Expenditures + 5%</v>
      </c>
      <c r="I75" s="622"/>
      <c r="J75" s="669"/>
    </row>
    <row r="76" spans="2:10" ht="15.75">
      <c r="B76" s="105" t="s">
        <v>134</v>
      </c>
      <c r="C76" s="313">
        <f>C64-C75</f>
        <v>0</v>
      </c>
      <c r="D76" s="313">
        <f>D64-D75</f>
        <v>0</v>
      </c>
      <c r="E76" s="217" t="s">
        <v>13</v>
      </c>
      <c r="G76" s="638">
        <f>G73-G75</f>
        <v>0</v>
      </c>
      <c r="H76" s="639" t="str">
        <f>CONCATENATE("Projected ",E1+1," carryover (est.)")</f>
        <v>Projected 1 carryover (est.)</v>
      </c>
      <c r="I76" s="630"/>
      <c r="J76" s="667"/>
    </row>
    <row r="77" spans="2:9" ht="15.75">
      <c r="B77" s="122" t="str">
        <f>CONCATENATE("",E1-2,"/",E1-1,"/",E1," Budget Authority Amount:")</f>
        <v>-2/-1/0 Budget Authority Amount:</v>
      </c>
      <c r="C77" s="478">
        <f>inputOth!B72</f>
        <v>0</v>
      </c>
      <c r="D77" s="685">
        <f>inputPrYr!D31</f>
        <v>0</v>
      </c>
      <c r="E77" s="158">
        <f>E75</f>
        <v>0</v>
      </c>
      <c r="G77" s="610"/>
      <c r="H77" s="610"/>
      <c r="I77" s="610"/>
    </row>
    <row r="78" spans="2:10" ht="15.75">
      <c r="B78" s="93"/>
      <c r="C78" s="1025" t="s">
        <v>584</v>
      </c>
      <c r="D78" s="1026"/>
      <c r="E78" s="36"/>
      <c r="G78" s="1032" t="s">
        <v>819</v>
      </c>
      <c r="H78" s="1033"/>
      <c r="I78" s="1033"/>
      <c r="J78" s="1034"/>
    </row>
    <row r="79" spans="2:10" ht="15.75">
      <c r="B79" s="334" t="str">
        <f>CONCATENATE(C99,"     ",D99)</f>
        <v>     </v>
      </c>
      <c r="C79" s="1027" t="s">
        <v>585</v>
      </c>
      <c r="D79" s="1028"/>
      <c r="E79" s="158">
        <f>E75+E78</f>
        <v>0</v>
      </c>
      <c r="F79" s="207"/>
      <c r="G79" s="662"/>
      <c r="H79" s="624"/>
      <c r="I79" s="651"/>
      <c r="J79" s="652"/>
    </row>
    <row r="80" spans="2:10" ht="15.75">
      <c r="B80" s="334" t="str">
        <f>CONCATENATE(C100,"     ",D100)</f>
        <v>     </v>
      </c>
      <c r="C80" s="208"/>
      <c r="D80" s="120" t="s">
        <v>40</v>
      </c>
      <c r="E80" s="158">
        <f>IF(E79-E64&gt;0,E79-E64,0)</f>
        <v>0</v>
      </c>
      <c r="F80" s="680">
        <f>IF(E75/0.95-E75&lt;E78,"Exceeds 5%","")</f>
      </c>
      <c r="G80" s="664" t="str">
        <f>summ!H24</f>
        <v>  </v>
      </c>
      <c r="H80" s="624" t="str">
        <f>CONCATENATE("",E1," Fund Mill Rate")</f>
        <v>0 Fund Mill Rate</v>
      </c>
      <c r="I80" s="651"/>
      <c r="J80" s="652"/>
    </row>
    <row r="81" spans="2:10" ht="15.75">
      <c r="B81" s="120"/>
      <c r="C81" s="320" t="s">
        <v>586</v>
      </c>
      <c r="D81" s="550">
        <f>inputOth!$E$50</f>
        <v>0</v>
      </c>
      <c r="E81" s="158">
        <f>ROUND(IF(D81&gt;0,(E80*D81),0),0)</f>
        <v>0</v>
      </c>
      <c r="G81" s="663" t="str">
        <f>summ!E24</f>
        <v>  </v>
      </c>
      <c r="H81" s="624" t="str">
        <f>CONCATENATE("",E1-1," Fund Mill Rate")</f>
        <v>-1 Fund Mill Rate</v>
      </c>
      <c r="I81" s="651"/>
      <c r="J81" s="652"/>
    </row>
    <row r="82" spans="2:10" ht="16.5" thickBot="1">
      <c r="B82" s="16"/>
      <c r="C82" s="1018" t="str">
        <f>CONCATENATE("Amount of  ",$E$1-1," Ad Valorem Tax")</f>
        <v>Amount of  -1 Ad Valorem Tax</v>
      </c>
      <c r="D82" s="1029"/>
      <c r="E82" s="223">
        <f>E80+E81</f>
        <v>0</v>
      </c>
      <c r="G82" s="665">
        <f>summ!H43</f>
        <v>0</v>
      </c>
      <c r="H82" s="624" t="str">
        <f>CONCATENATE("Total ",E1," Mill Rate")</f>
        <v>Total 0 Mill Rate</v>
      </c>
      <c r="I82" s="651"/>
      <c r="J82" s="652"/>
    </row>
    <row r="83" spans="2:10" ht="16.5" thickTop="1">
      <c r="B83" s="16"/>
      <c r="C83" s="1043"/>
      <c r="D83" s="1043"/>
      <c r="E83" s="16"/>
      <c r="G83" s="663">
        <f>summ!E43</f>
        <v>0</v>
      </c>
      <c r="H83" s="647" t="str">
        <f>CONCATENATE("Total ",E1-1," Mill Rate")</f>
        <v>Total -1 Mill Rate</v>
      </c>
      <c r="I83" s="648"/>
      <c r="J83" s="649"/>
    </row>
    <row r="84" spans="2:5" ht="15.75">
      <c r="B84" s="961" t="s">
        <v>999</v>
      </c>
      <c r="C84" s="841"/>
      <c r="D84" s="841"/>
      <c r="E84" s="842"/>
    </row>
    <row r="85" spans="2:10" ht="15.75">
      <c r="B85" s="48"/>
      <c r="C85" s="321"/>
      <c r="D85" s="321"/>
      <c r="E85" s="613"/>
      <c r="G85" s="776"/>
      <c r="H85" s="793"/>
      <c r="I85" s="775"/>
      <c r="J85" s="792"/>
    </row>
    <row r="86" spans="2:10" ht="15.75">
      <c r="B86" s="512"/>
      <c r="C86" s="41"/>
      <c r="D86" s="41"/>
      <c r="E86" s="55"/>
      <c r="G86" s="765" t="str">
        <f>CONCATENATE("Computed ",E1," tax levy limit amount")</f>
        <v>Computed 0 tax levy limit amount</v>
      </c>
      <c r="H86" s="769"/>
      <c r="I86" s="769"/>
      <c r="J86" s="772">
        <f>Comp1!J47</f>
        <v>0</v>
      </c>
    </row>
    <row r="87" spans="2:10" ht="15.75">
      <c r="B87" s="93" t="s">
        <v>42</v>
      </c>
      <c r="C87" s="711"/>
      <c r="D87" s="16"/>
      <c r="E87" s="16"/>
      <c r="G87" s="763" t="str">
        <f>CONCATENATE("Total ",E1," tax levy amount")</f>
        <v>Total 0 tax levy amount</v>
      </c>
      <c r="H87" s="768"/>
      <c r="I87" s="768"/>
      <c r="J87" s="770">
        <f>summ!G43</f>
        <v>0</v>
      </c>
    </row>
    <row r="97" spans="3:4" ht="15.75" hidden="1">
      <c r="C97" s="335">
        <f>IF(C35&gt;C37,"See Tab A","")</f>
      </c>
      <c r="D97" s="335">
        <f>IF(D35&gt;D37,"See Tab C","")</f>
      </c>
    </row>
    <row r="98" spans="3:4" ht="15.75" hidden="1">
      <c r="C98" s="335">
        <f>IF(C36&lt;0,"See Tab B","")</f>
      </c>
      <c r="D98" s="335">
        <f>IF(D36&lt;0,"See Tab D","")</f>
      </c>
    </row>
    <row r="99" spans="3:4" ht="15.75" hidden="1">
      <c r="C99" s="335">
        <f>IF(C75&gt;C77,"See Tab A","")</f>
      </c>
      <c r="D99" s="335">
        <f>IF(D75&gt;D77,"See Tab C","")</f>
      </c>
    </row>
    <row r="100" spans="3:4" ht="15.75" hidden="1">
      <c r="C100" s="335">
        <f>IF(C76&lt;0,"See Tab B","")</f>
      </c>
      <c r="D100" s="335">
        <f>IF(D76&lt;0,"See Tab D","")</f>
      </c>
    </row>
  </sheetData>
  <sheetProtection/>
  <mergeCells count="14">
    <mergeCell ref="G19:J19"/>
    <mergeCell ref="G26:J26"/>
    <mergeCell ref="G36:J36"/>
    <mergeCell ref="G61:J61"/>
    <mergeCell ref="G68:J68"/>
    <mergeCell ref="G78:J78"/>
    <mergeCell ref="C83:D83"/>
    <mergeCell ref="C43:D43"/>
    <mergeCell ref="C78:D78"/>
    <mergeCell ref="C79:D79"/>
    <mergeCell ref="C38:D38"/>
    <mergeCell ref="C39:D39"/>
    <mergeCell ref="C42:D42"/>
    <mergeCell ref="C82:D82"/>
  </mergeCells>
  <conditionalFormatting sqref="E33">
    <cfRule type="cellIs" priority="3" dxfId="260" operator="greaterThan" stopIfTrue="1">
      <formula>$E$35*0.1</formula>
    </cfRule>
  </conditionalFormatting>
  <conditionalFormatting sqref="E38">
    <cfRule type="cellIs" priority="4" dxfId="260" operator="greaterThan" stopIfTrue="1">
      <formula>$E$35/0.95-$E$35</formula>
    </cfRule>
  </conditionalFormatting>
  <conditionalFormatting sqref="E73">
    <cfRule type="cellIs" priority="5" dxfId="260" operator="greaterThan" stopIfTrue="1">
      <formula>$E$75*0.1</formula>
    </cfRule>
  </conditionalFormatting>
  <conditionalFormatting sqref="E78">
    <cfRule type="cellIs" priority="6" dxfId="260" operator="greaterThan" stopIfTrue="1">
      <formula>$E$75/0.95-$E$75</formula>
    </cfRule>
  </conditionalFormatting>
  <conditionalFormatting sqref="D35">
    <cfRule type="cellIs" priority="7" dxfId="0" operator="greaterThan" stopIfTrue="1">
      <formula>$D$37</formula>
    </cfRule>
  </conditionalFormatting>
  <conditionalFormatting sqref="C35">
    <cfRule type="cellIs" priority="8" dxfId="0" operator="greaterThan" stopIfTrue="1">
      <formula>$C$37</formula>
    </cfRule>
  </conditionalFormatting>
  <conditionalFormatting sqref="C36 C76">
    <cfRule type="cellIs" priority="9" dxfId="0" operator="lessThan" stopIfTrue="1">
      <formula>0</formula>
    </cfRule>
  </conditionalFormatting>
  <conditionalFormatting sqref="D75">
    <cfRule type="cellIs" priority="10" dxfId="0" operator="greaterThan" stopIfTrue="1">
      <formula>$D$77</formula>
    </cfRule>
  </conditionalFormatting>
  <conditionalFormatting sqref="C75">
    <cfRule type="cellIs" priority="11" dxfId="0" operator="greaterThan" stopIfTrue="1">
      <formula>$C$77</formula>
    </cfRule>
  </conditionalFormatting>
  <conditionalFormatting sqref="C33">
    <cfRule type="cellIs" priority="12" dxfId="0" operator="greaterThan" stopIfTrue="1">
      <formula>$C$35*0.1</formula>
    </cfRule>
  </conditionalFormatting>
  <conditionalFormatting sqref="D33">
    <cfRule type="cellIs" priority="13" dxfId="0" operator="greaterThan" stopIfTrue="1">
      <formula>$D$35*0.1</formula>
    </cfRule>
  </conditionalFormatting>
  <conditionalFormatting sqref="C73">
    <cfRule type="cellIs" priority="14" dxfId="0" operator="greaterThan" stopIfTrue="1">
      <formula>$C$75*0.1</formula>
    </cfRule>
  </conditionalFormatting>
  <conditionalFormatting sqref="D73">
    <cfRule type="cellIs" priority="15" dxfId="0" operator="greaterThan" stopIfTrue="1">
      <formula>$D$75*0.1</formula>
    </cfRule>
  </conditionalFormatting>
  <conditionalFormatting sqref="D61">
    <cfRule type="cellIs" priority="16" dxfId="0" operator="greaterThan" stopIfTrue="1">
      <formula>$D$63*0.1</formula>
    </cfRule>
  </conditionalFormatting>
  <conditionalFormatting sqref="C61">
    <cfRule type="cellIs" priority="17" dxfId="0" operator="greaterThan" stopIfTrue="1">
      <formula>$C$63*0.1</formula>
    </cfRule>
  </conditionalFormatting>
  <conditionalFormatting sqref="D21">
    <cfRule type="cellIs" priority="18" dxfId="0" operator="greaterThan" stopIfTrue="1">
      <formula>$D$23*0.1</formula>
    </cfRule>
  </conditionalFormatting>
  <conditionalFormatting sqref="C21">
    <cfRule type="cellIs" priority="19" dxfId="0" operator="greaterThan" stopIfTrue="1">
      <formula>$C$23*0.1</formula>
    </cfRule>
  </conditionalFormatting>
  <conditionalFormatting sqref="E61">
    <cfRule type="cellIs" priority="20" dxfId="260" operator="greaterThan" stopIfTrue="1">
      <formula>$E$63*0.1+E82</formula>
    </cfRule>
  </conditionalFormatting>
  <conditionalFormatting sqref="E21">
    <cfRule type="cellIs" priority="21" dxfId="260" operator="greaterThan" stopIfTrue="1">
      <formula>$E$23*0.1+E42</formula>
    </cfRule>
  </conditionalFormatting>
  <conditionalFormatting sqref="D76 D36">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C89" sqref="C89"/>
    </sheetView>
  </sheetViews>
  <sheetFormatPr defaultColWidth="8.796875" defaultRowHeight="15"/>
  <cols>
    <col min="1" max="1" width="2.3984375" style="17" customWidth="1"/>
    <col min="2" max="2" width="31.09765625" style="17" customWidth="1"/>
    <col min="3" max="4" width="15.796875" style="17" customWidth="1"/>
    <col min="5" max="5" width="16.59765625" style="17" customWidth="1"/>
    <col min="6" max="6" width="8.8984375" style="17" customWidth="1"/>
    <col min="7" max="7" width="10.19921875" style="17" customWidth="1"/>
    <col min="8" max="8" width="8.8984375" style="17" customWidth="1"/>
    <col min="9" max="9" width="5.59765625" style="17" customWidth="1"/>
    <col min="10" max="10" width="10" style="17" customWidth="1"/>
    <col min="11" max="16384" width="8.8984375" style="17" customWidth="1"/>
  </cols>
  <sheetData>
    <row r="1" spans="2:5" ht="15.75">
      <c r="B1" s="124">
        <f>(inputPrYr!D3)</f>
        <v>0</v>
      </c>
      <c r="C1" s="16"/>
      <c r="D1" s="16"/>
      <c r="E1" s="177">
        <f>inputPrYr!C6</f>
        <v>0</v>
      </c>
    </row>
    <row r="2" spans="2:5" ht="15.75">
      <c r="B2" s="16"/>
      <c r="C2" s="16"/>
      <c r="D2" s="16"/>
      <c r="E2" s="120"/>
    </row>
    <row r="3" spans="2:5" ht="15.75">
      <c r="B3" s="27" t="s">
        <v>91</v>
      </c>
      <c r="C3" s="136"/>
      <c r="D3" s="136"/>
      <c r="E3" s="220"/>
    </row>
    <row r="4" spans="2:5" ht="15.75">
      <c r="B4" s="19" t="s">
        <v>23</v>
      </c>
      <c r="C4" s="592" t="s">
        <v>758</v>
      </c>
      <c r="D4" s="593" t="s">
        <v>761</v>
      </c>
      <c r="E4" s="99" t="s">
        <v>762</v>
      </c>
    </row>
    <row r="5" spans="2:5" ht="15.75">
      <c r="B5" s="330">
        <f>inputPrYr!B32</f>
        <v>0</v>
      </c>
      <c r="C5" s="314" t="str">
        <f>CONCATENATE("Actual for ",E1-2,"")</f>
        <v>Actual for -2</v>
      </c>
      <c r="D5" s="314" t="str">
        <f>CONCATENATE("Estimate for ",E1-1,"")</f>
        <v>Estimate for -1</v>
      </c>
      <c r="E5" s="187" t="str">
        <f>CONCATENATE("Year for ",E1,"")</f>
        <v>Year for 0</v>
      </c>
    </row>
    <row r="6" spans="2:5" ht="15.75">
      <c r="B6" s="188" t="s">
        <v>133</v>
      </c>
      <c r="C6" s="189"/>
      <c r="D6" s="313">
        <f>C36</f>
        <v>0</v>
      </c>
      <c r="E6" s="158">
        <f>D36</f>
        <v>0</v>
      </c>
    </row>
    <row r="7" spans="2:5" ht="15.75">
      <c r="B7" s="188" t="s">
        <v>135</v>
      </c>
      <c r="C7" s="113"/>
      <c r="D7" s="113"/>
      <c r="E7" s="51"/>
    </row>
    <row r="8" spans="2:5" ht="15.75">
      <c r="B8" s="105" t="s">
        <v>24</v>
      </c>
      <c r="C8" s="189"/>
      <c r="D8" s="313">
        <f>IF(inputPrYr!H21&gt;0,inputPrYr!G32,inputPrYr!E32)</f>
        <v>0</v>
      </c>
      <c r="E8" s="217" t="s">
        <v>13</v>
      </c>
    </row>
    <row r="9" spans="2:5" ht="15.75">
      <c r="B9" s="105" t="s">
        <v>25</v>
      </c>
      <c r="C9" s="189"/>
      <c r="D9" s="189"/>
      <c r="E9" s="36"/>
    </row>
    <row r="10" spans="2:5" ht="15.75">
      <c r="B10" s="105" t="s">
        <v>26</v>
      </c>
      <c r="C10" s="189"/>
      <c r="D10" s="189"/>
      <c r="E10" s="158" t="str">
        <f>mvalloc!D16</f>
        <v>  </v>
      </c>
    </row>
    <row r="11" spans="2:5" ht="15.75">
      <c r="B11" s="105" t="s">
        <v>27</v>
      </c>
      <c r="C11" s="189"/>
      <c r="D11" s="189"/>
      <c r="E11" s="158" t="str">
        <f>mvalloc!E16</f>
        <v> </v>
      </c>
    </row>
    <row r="12" spans="2:5" ht="15.75">
      <c r="B12" s="113" t="s">
        <v>122</v>
      </c>
      <c r="C12" s="189"/>
      <c r="D12" s="189"/>
      <c r="E12" s="158" t="str">
        <f>mvalloc!F16</f>
        <v> </v>
      </c>
    </row>
    <row r="13" spans="2:5" ht="15.75">
      <c r="B13" s="757" t="s">
        <v>978</v>
      </c>
      <c r="C13" s="189"/>
      <c r="D13" s="189"/>
      <c r="E13" s="158" t="str">
        <f>mvalloc!G16</f>
        <v> </v>
      </c>
    </row>
    <row r="14" spans="2:5" ht="15.75">
      <c r="B14" s="757" t="s">
        <v>979</v>
      </c>
      <c r="C14" s="189"/>
      <c r="D14" s="189"/>
      <c r="E14" s="158" t="str">
        <f>mvalloc!H16</f>
        <v> </v>
      </c>
    </row>
    <row r="15" spans="2:5" ht="15.75">
      <c r="B15" s="36"/>
      <c r="C15" s="189"/>
      <c r="D15" s="189"/>
      <c r="E15" s="36"/>
    </row>
    <row r="16" spans="2:5" ht="15.75">
      <c r="B16" s="204"/>
      <c r="C16" s="189"/>
      <c r="D16" s="189"/>
      <c r="E16" s="36"/>
    </row>
    <row r="17" spans="2:5" ht="15.75">
      <c r="B17" s="204"/>
      <c r="C17" s="189"/>
      <c r="D17" s="189"/>
      <c r="E17" s="36"/>
    </row>
    <row r="18" spans="2:5" ht="15.75">
      <c r="B18" s="204"/>
      <c r="C18" s="189"/>
      <c r="D18" s="189"/>
      <c r="E18" s="36"/>
    </row>
    <row r="19" spans="2:10" ht="15.75">
      <c r="B19" s="196" t="s">
        <v>31</v>
      </c>
      <c r="C19" s="189"/>
      <c r="D19" s="189"/>
      <c r="E19" s="36"/>
      <c r="G19" s="1040" t="str">
        <f>CONCATENATE("Desired Carryover Into ",E1+1,"")</f>
        <v>Desired Carryover Into 1</v>
      </c>
      <c r="H19" s="1030"/>
      <c r="I19" s="1030"/>
      <c r="J19" s="1031"/>
    </row>
    <row r="20" spans="2:10" ht="15.75">
      <c r="B20" s="205" t="s">
        <v>237</v>
      </c>
      <c r="C20" s="189"/>
      <c r="D20" s="189"/>
      <c r="E20" s="821">
        <f>nhood!E15*-1</f>
        <v>0</v>
      </c>
      <c r="G20" s="632"/>
      <c r="H20" s="619"/>
      <c r="I20" s="626"/>
      <c r="J20" s="633"/>
    </row>
    <row r="21" spans="2:10" ht="15.75">
      <c r="B21" s="113" t="s">
        <v>236</v>
      </c>
      <c r="C21" s="189"/>
      <c r="D21" s="189"/>
      <c r="E21" s="36"/>
      <c r="G21" s="631" t="s">
        <v>592</v>
      </c>
      <c r="H21" s="626"/>
      <c r="I21" s="626"/>
      <c r="J21" s="620">
        <v>0</v>
      </c>
    </row>
    <row r="22" spans="2:10" ht="15.75">
      <c r="B22" s="188" t="s">
        <v>746</v>
      </c>
      <c r="C22" s="315">
        <f>IF(C23*0.1&lt;C21,"Exceed 10% Rule","")</f>
      </c>
      <c r="D22" s="315">
        <f>IF(D23*0.1&lt;D21,"Exceed 10% Rule","")</f>
      </c>
      <c r="E22" s="332">
        <f>IF(E23*0.1+E42&lt;E21,"Exceed 10% Rule","")</f>
      </c>
      <c r="G22" s="632" t="s">
        <v>593</v>
      </c>
      <c r="H22" s="619"/>
      <c r="I22" s="619"/>
      <c r="J22" s="657">
        <f>IF(J21=0,"",ROUND((J21+E42-G34)/inputOth!E7*1000,3)-G39)</f>
      </c>
    </row>
    <row r="23" spans="2:10" ht="15.75">
      <c r="B23" s="198" t="s">
        <v>32</v>
      </c>
      <c r="C23" s="316">
        <f>SUM(C8:C21)</f>
        <v>0</v>
      </c>
      <c r="D23" s="316">
        <f>SUM(D8:D21)</f>
        <v>0</v>
      </c>
      <c r="E23" s="222">
        <f>SUM(E8:E21)</f>
        <v>0</v>
      </c>
      <c r="G23" s="655" t="str">
        <f>CONCATENATE("",E1," Tot Exp/Non-Appr Must Be:")</f>
        <v>0 Tot Exp/Non-Appr Must Be:</v>
      </c>
      <c r="H23" s="653"/>
      <c r="I23" s="654"/>
      <c r="J23" s="650">
        <f>IF(J21&gt;0,IF(E39&lt;E24,IF(J21=G34,E39,((J21-G34)*(1-D41))+E24),E39+(J21-G34)),0)</f>
        <v>0</v>
      </c>
    </row>
    <row r="24" spans="2:10" ht="15.75">
      <c r="B24" s="198" t="s">
        <v>33</v>
      </c>
      <c r="C24" s="316">
        <f>C6+C23</f>
        <v>0</v>
      </c>
      <c r="D24" s="316">
        <f>D6+D23</f>
        <v>0</v>
      </c>
      <c r="E24" s="222">
        <f>E6+E23</f>
        <v>0</v>
      </c>
      <c r="G24" s="548" t="s">
        <v>763</v>
      </c>
      <c r="H24" s="660"/>
      <c r="I24" s="660"/>
      <c r="J24" s="656">
        <f>IF(J21&gt;0,J23-E39,0)</f>
        <v>0</v>
      </c>
    </row>
    <row r="25" spans="2:10" ht="15.75">
      <c r="B25" s="105" t="s">
        <v>35</v>
      </c>
      <c r="C25" s="205"/>
      <c r="D25" s="205"/>
      <c r="E25" s="34"/>
      <c r="J25" s="610"/>
    </row>
    <row r="26" spans="2:10" ht="15.75">
      <c r="B26" s="204"/>
      <c r="C26" s="189"/>
      <c r="D26" s="189"/>
      <c r="E26" s="36"/>
      <c r="G26" s="1040" t="str">
        <f>CONCATENATE("Projected Carryover Into ",E1+1,"")</f>
        <v>Projected Carryover Into 1</v>
      </c>
      <c r="H26" s="1036"/>
      <c r="I26" s="1036"/>
      <c r="J26" s="1045"/>
    </row>
    <row r="27" spans="2:10" ht="15.75">
      <c r="B27" s="204"/>
      <c r="C27" s="189"/>
      <c r="D27" s="189"/>
      <c r="E27" s="36"/>
      <c r="G27" s="632"/>
      <c r="H27" s="626"/>
      <c r="I27" s="626"/>
      <c r="J27" s="669"/>
    </row>
    <row r="28" spans="2:10" ht="15.75">
      <c r="B28" s="204"/>
      <c r="C28" s="189"/>
      <c r="D28" s="189"/>
      <c r="E28" s="36"/>
      <c r="G28" s="623">
        <f>D36</f>
        <v>0</v>
      </c>
      <c r="H28" s="624" t="str">
        <f>CONCATENATE("",E1-1," Ending Cash Balance (est.)")</f>
        <v>-1 Ending Cash Balance (est.)</v>
      </c>
      <c r="I28" s="625"/>
      <c r="J28" s="669"/>
    </row>
    <row r="29" spans="2:10" ht="15.75">
      <c r="B29" s="204"/>
      <c r="C29" s="189"/>
      <c r="D29" s="189"/>
      <c r="E29" s="36"/>
      <c r="G29" s="623">
        <f>E23</f>
        <v>0</v>
      </c>
      <c r="H29" s="626" t="str">
        <f>CONCATENATE("",E1," Non-AV Receipts (est.)")</f>
        <v>0 Non-AV Receipts (est.)</v>
      </c>
      <c r="I29" s="625"/>
      <c r="J29" s="669"/>
    </row>
    <row r="30" spans="2:11" ht="15.75">
      <c r="B30" s="204"/>
      <c r="C30" s="189"/>
      <c r="D30" s="189"/>
      <c r="E30" s="36"/>
      <c r="G30" s="627">
        <f>IF(D41&gt;0,E40,E42)</f>
        <v>0</v>
      </c>
      <c r="H30" s="626" t="str">
        <f>CONCATENATE("",E1," Ad Valorem Tax (est.)")</f>
        <v>0 Ad Valorem Tax (est.)</v>
      </c>
      <c r="I30" s="625"/>
      <c r="J30" s="669"/>
      <c r="K30" s="551">
        <f>IF(G30=E42,"","Note: Does not include Delinquent Taxes")</f>
      </c>
    </row>
    <row r="31" spans="2:10" ht="15.75">
      <c r="B31" s="204"/>
      <c r="C31" s="189"/>
      <c r="D31" s="189"/>
      <c r="E31" s="36"/>
      <c r="G31" s="623">
        <f>SUM(G28:G30)</f>
        <v>0</v>
      </c>
      <c r="H31" s="626" t="str">
        <f>CONCATENATE("Total ",E1," Resources Available")</f>
        <v>Total 0 Resources Available</v>
      </c>
      <c r="I31" s="625"/>
      <c r="J31" s="669"/>
    </row>
    <row r="32" spans="2:10" ht="15.75">
      <c r="B32" s="205" t="str">
        <f>CONCATENATE("Cash Forward (",E1," column)")</f>
        <v>Cash Forward (0 column)</v>
      </c>
      <c r="C32" s="189"/>
      <c r="D32" s="189"/>
      <c r="E32" s="36"/>
      <c r="G32" s="628"/>
      <c r="H32" s="626"/>
      <c r="I32" s="626"/>
      <c r="J32" s="669"/>
    </row>
    <row r="33" spans="2:10" ht="15.75">
      <c r="B33" s="205" t="s">
        <v>236</v>
      </c>
      <c r="C33" s="189"/>
      <c r="D33" s="189"/>
      <c r="E33" s="36"/>
      <c r="G33" s="627">
        <f>ROUND(C35*0.05+C35,0)</f>
        <v>0</v>
      </c>
      <c r="H33" s="626" t="str">
        <f>CONCATENATE("Less ",E1-2," Expenditures + 5%")</f>
        <v>Less -2 Expenditures + 5%</v>
      </c>
      <c r="I33" s="625"/>
      <c r="J33" s="669"/>
    </row>
    <row r="34" spans="2:10" ht="15.75">
      <c r="B34" s="205" t="s">
        <v>747</v>
      </c>
      <c r="C34" s="315">
        <f>IF(C35*0.1&lt;C33,"Exceed 10% Rule","")</f>
      </c>
      <c r="D34" s="315">
        <f>IF(D35*0.1&lt;D33,"Exceed 10% Rule","")</f>
      </c>
      <c r="E34" s="332">
        <f>IF(E35*0.1&lt;E33,"Exceed 10% Rule","")</f>
      </c>
      <c r="G34" s="658">
        <f>G31-G33</f>
        <v>0</v>
      </c>
      <c r="H34" s="659" t="str">
        <f>CONCATENATE("Projected ",E1+1," carryover (est.)")</f>
        <v>Projected 1 carryover (est.)</v>
      </c>
      <c r="I34" s="629"/>
      <c r="J34" s="667"/>
    </row>
    <row r="35" spans="2:10" ht="15.75">
      <c r="B35" s="198" t="s">
        <v>39</v>
      </c>
      <c r="C35" s="316">
        <f>SUM(C26:C33)</f>
        <v>0</v>
      </c>
      <c r="D35" s="316">
        <f>SUM(D26:D33)</f>
        <v>0</v>
      </c>
      <c r="E35" s="222">
        <f>SUM(E26:E33)</f>
        <v>0</v>
      </c>
      <c r="G35" s="610"/>
      <c r="H35" s="610"/>
      <c r="I35" s="610"/>
      <c r="J35" s="610"/>
    </row>
    <row r="36" spans="2:10" ht="15.75">
      <c r="B36" s="105" t="s">
        <v>134</v>
      </c>
      <c r="C36" s="313">
        <f>C24-C35</f>
        <v>0</v>
      </c>
      <c r="D36" s="313">
        <f>D24-D35</f>
        <v>0</v>
      </c>
      <c r="E36" s="217" t="s">
        <v>13</v>
      </c>
      <c r="G36" s="1032" t="s">
        <v>819</v>
      </c>
      <c r="H36" s="1033"/>
      <c r="I36" s="1033"/>
      <c r="J36" s="1034"/>
    </row>
    <row r="37" spans="2:10" ht="15.75">
      <c r="B37" s="122" t="str">
        <f>CONCATENATE("",E1-2,"/",E1-1,"/",E1," Budget Authority Amount:")</f>
        <v>-2/-1/0 Budget Authority Amount:</v>
      </c>
      <c r="C37" s="478">
        <f>inputOth!B73</f>
        <v>0</v>
      </c>
      <c r="D37" s="685">
        <f>inputPrYr!D32</f>
        <v>0</v>
      </c>
      <c r="E37" s="158">
        <f>E35</f>
        <v>0</v>
      </c>
      <c r="F37" s="207"/>
      <c r="G37" s="662"/>
      <c r="H37" s="624"/>
      <c r="I37" s="651"/>
      <c r="J37" s="652"/>
    </row>
    <row r="38" spans="2:10" ht="15.75">
      <c r="B38" s="93"/>
      <c r="C38" s="1025" t="s">
        <v>584</v>
      </c>
      <c r="D38" s="1026"/>
      <c r="E38" s="36"/>
      <c r="F38" s="680">
        <f>IF(E35/0.95-E35&lt;E38,"Exceeds 5%","")</f>
      </c>
      <c r="G38" s="664" t="str">
        <f>summ!H25</f>
        <v>  </v>
      </c>
      <c r="H38" s="624" t="str">
        <f>CONCATENATE("",E1," Fund Mill Rate")</f>
        <v>0 Fund Mill Rate</v>
      </c>
      <c r="I38" s="651"/>
      <c r="J38" s="652"/>
    </row>
    <row r="39" spans="2:10" ht="15.75">
      <c r="B39" s="334" t="str">
        <f>CONCATENATE(C97,"     ",D97)</f>
        <v>     </v>
      </c>
      <c r="C39" s="1027" t="s">
        <v>585</v>
      </c>
      <c r="D39" s="1028"/>
      <c r="E39" s="158">
        <f>E35+E38</f>
        <v>0</v>
      </c>
      <c r="G39" s="663" t="str">
        <f>summ!E25</f>
        <v>  </v>
      </c>
      <c r="H39" s="624" t="str">
        <f>CONCATENATE("",E1-1," Fund Mill Rate")</f>
        <v>-1 Fund Mill Rate</v>
      </c>
      <c r="I39" s="651"/>
      <c r="J39" s="652"/>
    </row>
    <row r="40" spans="2:10" ht="15.75">
      <c r="B40" s="334" t="str">
        <f>CONCATENATE(C98,"     ",D98)</f>
        <v>     </v>
      </c>
      <c r="C40" s="208"/>
      <c r="D40" s="120" t="s">
        <v>40</v>
      </c>
      <c r="E40" s="158">
        <f>IF(E39-E24&gt;0,E39-E24,0)</f>
        <v>0</v>
      </c>
      <c r="G40" s="665">
        <f>summ!H43</f>
        <v>0</v>
      </c>
      <c r="H40" s="624" t="str">
        <f>CONCATENATE("Total ",E1," Mill Rate")</f>
        <v>Total 0 Mill Rate</v>
      </c>
      <c r="I40" s="651"/>
      <c r="J40" s="652"/>
    </row>
    <row r="41" spans="2:10" ht="15.75">
      <c r="B41" s="120"/>
      <c r="C41" s="320" t="s">
        <v>586</v>
      </c>
      <c r="D41" s="550">
        <f>inputOth!$E$50</f>
        <v>0</v>
      </c>
      <c r="E41" s="158">
        <f>ROUND(IF(D41&gt;0,(E40*D41),0),0)</f>
        <v>0</v>
      </c>
      <c r="G41" s="663">
        <f>summ!E43</f>
        <v>0</v>
      </c>
      <c r="H41" s="647" t="str">
        <f>CONCATENATE("Total ",E1-1," Mill Rate")</f>
        <v>Total -1 Mill Rate</v>
      </c>
      <c r="I41" s="648"/>
      <c r="J41" s="649"/>
    </row>
    <row r="42" spans="2:5" ht="16.5" thickBot="1">
      <c r="B42" s="16"/>
      <c r="C42" s="1018" t="str">
        <f>CONCATENATE("Amount of  ",$E$1-1," Ad Valorem Tax")</f>
        <v>Amount of  -1 Ad Valorem Tax</v>
      </c>
      <c r="D42" s="1029"/>
      <c r="E42" s="223">
        <f>E40+E41</f>
        <v>0</v>
      </c>
    </row>
    <row r="43" spans="2:10" ht="16.5" thickTop="1">
      <c r="B43" s="16"/>
      <c r="C43" s="1043"/>
      <c r="D43" s="1043"/>
      <c r="E43" s="16"/>
      <c r="G43" s="776"/>
      <c r="H43" s="793"/>
      <c r="I43" s="775"/>
      <c r="J43" s="792"/>
    </row>
    <row r="44" spans="2:10" ht="15.75">
      <c r="B44" s="16"/>
      <c r="C44" s="16"/>
      <c r="D44" s="16"/>
      <c r="E44" s="16"/>
      <c r="G44" s="765" t="str">
        <f>CONCATENATE("Computed ",E1," tax levy limit amount")</f>
        <v>Computed 0 tax levy limit amount</v>
      </c>
      <c r="H44" s="764"/>
      <c r="I44" s="764"/>
      <c r="J44" s="759">
        <f>Comp1!J47</f>
        <v>0</v>
      </c>
    </row>
    <row r="45" spans="2:10" ht="15.75">
      <c r="B45" s="19"/>
      <c r="C45" s="97"/>
      <c r="D45" s="97"/>
      <c r="E45" s="97"/>
      <c r="G45" s="763" t="str">
        <f>CONCATENATE("Total ",E1," tax levy amount")</f>
        <v>Total 0 tax levy amount</v>
      </c>
      <c r="H45" s="762"/>
      <c r="I45" s="762"/>
      <c r="J45" s="758">
        <f>summ!G43</f>
        <v>0</v>
      </c>
    </row>
    <row r="46" spans="2:5" ht="15.75">
      <c r="B46" s="19" t="s">
        <v>23</v>
      </c>
      <c r="C46" s="592" t="str">
        <f aca="true" t="shared" si="0" ref="C46:E47">C4</f>
        <v>Prior Year </v>
      </c>
      <c r="D46" s="593" t="str">
        <f t="shared" si="0"/>
        <v>Current Year </v>
      </c>
      <c r="E46" s="99" t="str">
        <f t="shared" si="0"/>
        <v>Proposed Budget </v>
      </c>
    </row>
    <row r="47" spans="2:5" ht="15.75">
      <c r="B47" s="331">
        <f>inputPrYr!B33</f>
        <v>0</v>
      </c>
      <c r="C47" s="314" t="str">
        <f t="shared" si="0"/>
        <v>Actual for -2</v>
      </c>
      <c r="D47" s="314" t="str">
        <f t="shared" si="0"/>
        <v>Estimate for -1</v>
      </c>
      <c r="E47" s="143" t="str">
        <f t="shared" si="0"/>
        <v>Year for 0</v>
      </c>
    </row>
    <row r="48" spans="2:5" ht="15.75">
      <c r="B48" s="188" t="s">
        <v>133</v>
      </c>
      <c r="C48" s="189"/>
      <c r="D48" s="313">
        <f>C75</f>
        <v>0</v>
      </c>
      <c r="E48" s="158">
        <f>D75</f>
        <v>0</v>
      </c>
    </row>
    <row r="49" spans="2:5" ht="15.75">
      <c r="B49" s="191" t="s">
        <v>135</v>
      </c>
      <c r="C49" s="113"/>
      <c r="D49" s="113"/>
      <c r="E49" s="51"/>
    </row>
    <row r="50" spans="2:5" ht="15.75">
      <c r="B50" s="105" t="s">
        <v>24</v>
      </c>
      <c r="C50" s="189"/>
      <c r="D50" s="313">
        <f>IF(inputPrYr!H21&gt;0,inputPrYr!G33,inputPrYr!E33)</f>
        <v>0</v>
      </c>
      <c r="E50" s="217" t="s">
        <v>13</v>
      </c>
    </row>
    <row r="51" spans="2:5" ht="15.75">
      <c r="B51" s="105" t="s">
        <v>25</v>
      </c>
      <c r="C51" s="189"/>
      <c r="D51" s="189"/>
      <c r="E51" s="36"/>
    </row>
    <row r="52" spans="2:5" ht="15.75">
      <c r="B52" s="105" t="s">
        <v>26</v>
      </c>
      <c r="C52" s="189"/>
      <c r="D52" s="189"/>
      <c r="E52" s="158" t="str">
        <f>mvalloc!D17</f>
        <v>  </v>
      </c>
    </row>
    <row r="53" spans="2:5" ht="15.75">
      <c r="B53" s="105" t="s">
        <v>27</v>
      </c>
      <c r="C53" s="189"/>
      <c r="D53" s="189"/>
      <c r="E53" s="158" t="str">
        <f>mvalloc!E17</f>
        <v> </v>
      </c>
    </row>
    <row r="54" spans="2:5" ht="15.75">
      <c r="B54" s="113" t="s">
        <v>122</v>
      </c>
      <c r="C54" s="189"/>
      <c r="D54" s="189"/>
      <c r="E54" s="158" t="str">
        <f>mvalloc!F17</f>
        <v> </v>
      </c>
    </row>
    <row r="55" spans="2:5" ht="15.75">
      <c r="B55" s="757" t="s">
        <v>978</v>
      </c>
      <c r="C55" s="189"/>
      <c r="D55" s="189"/>
      <c r="E55" s="158" t="str">
        <f>mvalloc!G17</f>
        <v> </v>
      </c>
    </row>
    <row r="56" spans="2:5" ht="15.75">
      <c r="B56" s="757" t="s">
        <v>979</v>
      </c>
      <c r="C56" s="189"/>
      <c r="D56" s="189"/>
      <c r="E56" s="158" t="str">
        <f>mvalloc!H17</f>
        <v> </v>
      </c>
    </row>
    <row r="57" spans="2:5" ht="15.75">
      <c r="B57" s="36"/>
      <c r="C57" s="189"/>
      <c r="D57" s="189"/>
      <c r="E57" s="36"/>
    </row>
    <row r="58" spans="2:5" ht="15.75">
      <c r="B58" s="196" t="s">
        <v>31</v>
      </c>
      <c r="C58" s="189"/>
      <c r="D58" s="189"/>
      <c r="E58" s="36"/>
    </row>
    <row r="59" spans="2:5" ht="15.75">
      <c r="B59" s="205" t="s">
        <v>237</v>
      </c>
      <c r="C59" s="189"/>
      <c r="D59" s="189"/>
      <c r="E59" s="821">
        <f>nhood!E16*-1</f>
        <v>0</v>
      </c>
    </row>
    <row r="60" spans="2:5" ht="15.75">
      <c r="B60" s="113" t="s">
        <v>236</v>
      </c>
      <c r="C60" s="189"/>
      <c r="D60" s="189"/>
      <c r="E60" s="36"/>
    </row>
    <row r="61" spans="2:10" ht="15.75">
      <c r="B61" s="188" t="s">
        <v>746</v>
      </c>
      <c r="C61" s="315">
        <f>IF(C62*0.1&lt;C60,"Exceed 10% Rule","")</f>
      </c>
      <c r="D61" s="315">
        <f>IF(D62*0.1&lt;D60,"Exceed 10% Rule","")</f>
      </c>
      <c r="E61" s="332">
        <f>IF(E62*0.1+E81&lt;E60,"Exceed 10% Rule","")</f>
      </c>
      <c r="G61" s="1040" t="str">
        <f>CONCATENATE("Desired Carryover Into ",E1+1,"")</f>
        <v>Desired Carryover Into 1</v>
      </c>
      <c r="H61" s="1030"/>
      <c r="I61" s="1030"/>
      <c r="J61" s="1031"/>
    </row>
    <row r="62" spans="2:10" ht="15.75">
      <c r="B62" s="198" t="s">
        <v>32</v>
      </c>
      <c r="C62" s="316">
        <f>SUM(C50:C60)</f>
        <v>0</v>
      </c>
      <c r="D62" s="316">
        <f>SUM(D50:D60)</f>
        <v>0</v>
      </c>
      <c r="E62" s="222">
        <f>SUM(E50:E60)</f>
        <v>0</v>
      </c>
      <c r="G62" s="632"/>
      <c r="H62" s="619"/>
      <c r="I62" s="626"/>
      <c r="J62" s="633"/>
    </row>
    <row r="63" spans="2:10" ht="15.75">
      <c r="B63" s="198" t="s">
        <v>33</v>
      </c>
      <c r="C63" s="316">
        <f>C48+C62</f>
        <v>0</v>
      </c>
      <c r="D63" s="316">
        <f>D48+D62</f>
        <v>0</v>
      </c>
      <c r="E63" s="222">
        <f>E48+E62</f>
        <v>0</v>
      </c>
      <c r="G63" s="631" t="s">
        <v>592</v>
      </c>
      <c r="H63" s="626"/>
      <c r="I63" s="626"/>
      <c r="J63" s="620">
        <v>0</v>
      </c>
    </row>
    <row r="64" spans="2:10" ht="15.75">
      <c r="B64" s="105" t="s">
        <v>35</v>
      </c>
      <c r="C64" s="205"/>
      <c r="D64" s="205"/>
      <c r="E64" s="34"/>
      <c r="G64" s="632" t="s">
        <v>593</v>
      </c>
      <c r="H64" s="619"/>
      <c r="I64" s="619"/>
      <c r="J64" s="657">
        <f>IF(J63=0,"",ROUND((J63+E81-G76)/inputOth!E7*1000,3)-G81)</f>
      </c>
    </row>
    <row r="65" spans="2:10" ht="15.75">
      <c r="B65" s="204"/>
      <c r="C65" s="189"/>
      <c r="D65" s="189"/>
      <c r="E65" s="36"/>
      <c r="G65" s="655" t="str">
        <f>CONCATENATE("",E1," Tot Exp/Non-Appr Must Be:")</f>
        <v>0 Tot Exp/Non-Appr Must Be:</v>
      </c>
      <c r="H65" s="653"/>
      <c r="I65" s="654"/>
      <c r="J65" s="650">
        <f>IF(J63&gt;0,IF(E78&lt;E63,IF(J63=G76,E78,((J63-G76)*(1-D80))+E63),E78+(J63-G76)),0)</f>
        <v>0</v>
      </c>
    </row>
    <row r="66" spans="2:10" ht="15.75">
      <c r="B66" s="204"/>
      <c r="C66" s="189"/>
      <c r="D66" s="189"/>
      <c r="E66" s="36"/>
      <c r="G66" s="548" t="s">
        <v>763</v>
      </c>
      <c r="H66" s="660"/>
      <c r="I66" s="660"/>
      <c r="J66" s="656">
        <f>IF(J63&gt;0,J65-E78,0)</f>
        <v>0</v>
      </c>
    </row>
    <row r="67" spans="2:10" ht="15.75">
      <c r="B67" s="204"/>
      <c r="C67" s="189"/>
      <c r="D67" s="189"/>
      <c r="E67" s="36"/>
      <c r="J67" s="610"/>
    </row>
    <row r="68" spans="2:10" ht="15.75">
      <c r="B68" s="204"/>
      <c r="C68" s="189"/>
      <c r="D68" s="189"/>
      <c r="E68" s="36"/>
      <c r="G68" s="1040" t="str">
        <f>CONCATENATE("Projected Carryover Into ",E1+1,"")</f>
        <v>Projected Carryover Into 1</v>
      </c>
      <c r="H68" s="1046"/>
      <c r="I68" s="1046"/>
      <c r="J68" s="1045"/>
    </row>
    <row r="69" spans="2:10" ht="15.75">
      <c r="B69" s="204"/>
      <c r="C69" s="189"/>
      <c r="D69" s="189"/>
      <c r="E69" s="36"/>
      <c r="G69" s="621"/>
      <c r="H69" s="619"/>
      <c r="I69" s="619"/>
      <c r="J69" s="669"/>
    </row>
    <row r="70" spans="2:10" ht="15.75">
      <c r="B70" s="204"/>
      <c r="C70" s="189"/>
      <c r="D70" s="189"/>
      <c r="E70" s="36"/>
      <c r="G70" s="623">
        <f>D75</f>
        <v>0</v>
      </c>
      <c r="H70" s="624" t="str">
        <f>CONCATENATE("",E1-1," Ending Cash Balance (est.)")</f>
        <v>-1 Ending Cash Balance (est.)</v>
      </c>
      <c r="I70" s="625"/>
      <c r="J70" s="669"/>
    </row>
    <row r="71" spans="2:10" ht="15.75">
      <c r="B71" s="205" t="str">
        <f>CONCATENATE("Cash Forward (",E1," column)")</f>
        <v>Cash Forward (0 column)</v>
      </c>
      <c r="C71" s="189"/>
      <c r="D71" s="189"/>
      <c r="E71" s="36"/>
      <c r="G71" s="623">
        <f>E62</f>
        <v>0</v>
      </c>
      <c r="H71" s="626" t="str">
        <f>CONCATENATE("",E1," Non-AV Receipts (est.)")</f>
        <v>0 Non-AV Receipts (est.)</v>
      </c>
      <c r="I71" s="625"/>
      <c r="J71" s="669"/>
    </row>
    <row r="72" spans="2:11" ht="15.75">
      <c r="B72" s="205" t="s">
        <v>236</v>
      </c>
      <c r="C72" s="189"/>
      <c r="D72" s="189"/>
      <c r="E72" s="36"/>
      <c r="G72" s="627">
        <f>IF(D80&gt;0,E79,E81)</f>
        <v>0</v>
      </c>
      <c r="H72" s="626" t="str">
        <f>CONCATENATE("",E1," Ad Valorem Tax (est.)")</f>
        <v>0 Ad Valorem Tax (est.)</v>
      </c>
      <c r="I72" s="625"/>
      <c r="J72" s="669"/>
      <c r="K72" s="551">
        <f>IF(G72=E81,"","Note: Does not include Delinquent Taxes")</f>
      </c>
    </row>
    <row r="73" spans="2:10" ht="15.75">
      <c r="B73" s="205" t="s">
        <v>747</v>
      </c>
      <c r="C73" s="315">
        <f>IF(C74*0.1&lt;C72,"Exceed 10% Rule","")</f>
      </c>
      <c r="D73" s="315">
        <f>IF(D74*0.1&lt;D72,"Exceed 10% Rule","")</f>
      </c>
      <c r="E73" s="332">
        <f>IF(E74*0.1&lt;E72,"Exceed 10% Rule","")</f>
      </c>
      <c r="G73" s="634">
        <f>SUM(G70:G72)</f>
        <v>0</v>
      </c>
      <c r="H73" s="626" t="str">
        <f>CONCATENATE("Total ",E1," Resources Available")</f>
        <v>Total 0 Resources Available</v>
      </c>
      <c r="I73" s="622"/>
      <c r="J73" s="669"/>
    </row>
    <row r="74" spans="2:10" ht="15.75">
      <c r="B74" s="198" t="s">
        <v>39</v>
      </c>
      <c r="C74" s="316">
        <f>SUM(C65:C72)</f>
        <v>0</v>
      </c>
      <c r="D74" s="316">
        <f>SUM(D65:D72)</f>
        <v>0</v>
      </c>
      <c r="E74" s="222">
        <f>SUM(E65:E72)</f>
        <v>0</v>
      </c>
      <c r="G74" s="637"/>
      <c r="H74" s="635"/>
      <c r="I74" s="619"/>
      <c r="J74" s="669"/>
    </row>
    <row r="75" spans="2:10" ht="15.75">
      <c r="B75" s="105" t="s">
        <v>134</v>
      </c>
      <c r="C75" s="313">
        <f>C63-C74</f>
        <v>0</v>
      </c>
      <c r="D75" s="313">
        <f>D63-D74</f>
        <v>0</v>
      </c>
      <c r="E75" s="217" t="s">
        <v>13</v>
      </c>
      <c r="G75" s="636">
        <f>ROUND(C74*0.05+C74,0)</f>
        <v>0</v>
      </c>
      <c r="H75" s="635" t="str">
        <f>CONCATENATE("Less ",E1-2," Expenditures + 5%")</f>
        <v>Less -2 Expenditures + 5%</v>
      </c>
      <c r="I75" s="622"/>
      <c r="J75" s="669"/>
    </row>
    <row r="76" spans="2:10" ht="15.75">
      <c r="B76" s="122" t="str">
        <f>CONCATENATE("",E1-2,"/",E1-1,"/",E1," Budget Authority Amount:")</f>
        <v>-2/-1/0 Budget Authority Amount:</v>
      </c>
      <c r="C76" s="478">
        <f>inputOth!B74</f>
        <v>0</v>
      </c>
      <c r="D76" s="685">
        <f>inputPrYr!D33</f>
        <v>0</v>
      </c>
      <c r="E76" s="158">
        <f>E74</f>
        <v>0</v>
      </c>
      <c r="G76" s="638">
        <f>G73-G75</f>
        <v>0</v>
      </c>
      <c r="H76" s="639" t="str">
        <f>CONCATENATE("Projected ",E1+1," carryover (est.)")</f>
        <v>Projected 1 carryover (est.)</v>
      </c>
      <c r="I76" s="630"/>
      <c r="J76" s="667"/>
    </row>
    <row r="77" spans="2:9" ht="15.75">
      <c r="B77" s="93"/>
      <c r="C77" s="1025" t="s">
        <v>584</v>
      </c>
      <c r="D77" s="1026"/>
      <c r="E77" s="35"/>
      <c r="G77" s="610"/>
      <c r="H77" s="610"/>
      <c r="I77" s="610"/>
    </row>
    <row r="78" spans="2:10" ht="15.75">
      <c r="B78" s="334" t="str">
        <f>CONCATENATE(C99,"     ",D99)</f>
        <v>     </v>
      </c>
      <c r="C78" s="1027" t="s">
        <v>585</v>
      </c>
      <c r="D78" s="1028"/>
      <c r="E78" s="158">
        <f>E74+E77</f>
        <v>0</v>
      </c>
      <c r="G78" s="1032" t="s">
        <v>819</v>
      </c>
      <c r="H78" s="1033"/>
      <c r="I78" s="1033"/>
      <c r="J78" s="1034"/>
    </row>
    <row r="79" spans="2:10" ht="15.75">
      <c r="B79" s="334" t="str">
        <f>CONCATENATE(C100,"     ",D100)</f>
        <v>     </v>
      </c>
      <c r="C79" s="208"/>
      <c r="D79" s="120" t="s">
        <v>40</v>
      </c>
      <c r="E79" s="158">
        <f>IF(E78-E63&gt;0,E78-E63,0)</f>
        <v>0</v>
      </c>
      <c r="F79" s="207"/>
      <c r="G79" s="662"/>
      <c r="H79" s="624"/>
      <c r="I79" s="651"/>
      <c r="J79" s="652"/>
    </row>
    <row r="80" spans="2:10" ht="15.75">
      <c r="B80" s="120"/>
      <c r="C80" s="320" t="s">
        <v>586</v>
      </c>
      <c r="D80" s="550">
        <f>inputOth!$E$50</f>
        <v>0</v>
      </c>
      <c r="E80" s="158">
        <f>ROUND(IF(D80&gt;0,(E79*D80),0),0)</f>
        <v>0</v>
      </c>
      <c r="F80" s="680">
        <f>IF(E74/0.95-E74&lt;E77,"Exceeds 5%","")</f>
      </c>
      <c r="G80" s="664" t="str">
        <f>summ!H26</f>
        <v>  </v>
      </c>
      <c r="H80" s="624" t="str">
        <f>CONCATENATE("",E1," Fund Mill Rate")</f>
        <v>0 Fund Mill Rate</v>
      </c>
      <c r="I80" s="651"/>
      <c r="J80" s="652"/>
    </row>
    <row r="81" spans="2:10" ht="16.5" thickBot="1">
      <c r="B81" s="16"/>
      <c r="C81" s="1018" t="str">
        <f>CONCATENATE("Amount of  ",$E$1-1," Ad Valorem Tax")</f>
        <v>Amount of  -1 Ad Valorem Tax</v>
      </c>
      <c r="D81" s="1029"/>
      <c r="E81" s="223">
        <f>E79+E80</f>
        <v>0</v>
      </c>
      <c r="G81" s="663" t="str">
        <f>summ!E26</f>
        <v>  </v>
      </c>
      <c r="H81" s="624" t="str">
        <f>CONCATENATE("",E1-1," Fund Mill Rate")</f>
        <v>-1 Fund Mill Rate</v>
      </c>
      <c r="I81" s="651"/>
      <c r="J81" s="652"/>
    </row>
    <row r="82" spans="2:10" ht="16.5" thickTop="1">
      <c r="B82" s="16"/>
      <c r="C82" s="1043"/>
      <c r="D82" s="1043"/>
      <c r="E82" s="16"/>
      <c r="G82" s="665">
        <f>summ!H43</f>
        <v>0</v>
      </c>
      <c r="H82" s="624" t="str">
        <f>CONCATENATE("Total ",E1," Mill Rate")</f>
        <v>Total 0 Mill Rate</v>
      </c>
      <c r="I82" s="651"/>
      <c r="J82" s="652"/>
    </row>
    <row r="83" spans="2:10" ht="15.75">
      <c r="B83" s="961" t="s">
        <v>999</v>
      </c>
      <c r="C83" s="841"/>
      <c r="D83" s="841"/>
      <c r="E83" s="842"/>
      <c r="G83" s="663">
        <f>summ!E43</f>
        <v>0</v>
      </c>
      <c r="H83" s="647" t="str">
        <f>CONCATENATE("Total ",E1-1," Mill Rate")</f>
        <v>Total -1 Mill Rate</v>
      </c>
      <c r="I83" s="648"/>
      <c r="J83" s="649"/>
    </row>
    <row r="84" spans="2:5" ht="15.75">
      <c r="B84" s="48"/>
      <c r="C84" s="321"/>
      <c r="D84" s="321"/>
      <c r="E84" s="613"/>
    </row>
    <row r="85" spans="2:10" ht="15.75">
      <c r="B85" s="512"/>
      <c r="C85" s="843"/>
      <c r="D85" s="843"/>
      <c r="E85" s="55"/>
      <c r="G85" s="776"/>
      <c r="H85" s="793"/>
      <c r="I85" s="775"/>
      <c r="J85" s="792"/>
    </row>
    <row r="86" spans="2:10" ht="15.75">
      <c r="B86" s="16"/>
      <c r="C86" s="16"/>
      <c r="D86" s="16"/>
      <c r="E86" s="16"/>
      <c r="G86" s="765" t="str">
        <f>CONCATENATE("Computed ",E1," tax levy limit amount")</f>
        <v>Computed 0 tax levy limit amount</v>
      </c>
      <c r="H86" s="769"/>
      <c r="I86" s="769"/>
      <c r="J86" s="772">
        <f>Comp1!J47</f>
        <v>0</v>
      </c>
    </row>
    <row r="87" spans="2:10" ht="15.75">
      <c r="B87" s="93" t="s">
        <v>42</v>
      </c>
      <c r="C87" s="711"/>
      <c r="D87" s="16"/>
      <c r="E87" s="16"/>
      <c r="G87" s="763" t="str">
        <f>CONCATENATE("Total ",E1," tax levy amount")</f>
        <v>Total 0 tax levy amount</v>
      </c>
      <c r="H87" s="768"/>
      <c r="I87" s="768"/>
      <c r="J87" s="770">
        <f>summ!G43</f>
        <v>0</v>
      </c>
    </row>
    <row r="97" spans="3:4" ht="15.75" hidden="1">
      <c r="C97" s="335">
        <f>IF(C35&gt;C37,"See Tab A","")</f>
      </c>
      <c r="D97" s="335">
        <f>IF(D35&gt;D37,"See Tab C","")</f>
      </c>
    </row>
    <row r="98" spans="3:4" ht="15.75" hidden="1">
      <c r="C98" s="335">
        <f>IF(C36&lt;0,"See Tab B","")</f>
      </c>
      <c r="D98" s="335">
        <f>IF(D36&lt;0,"See Tab D","")</f>
      </c>
    </row>
    <row r="99" spans="3:4" ht="15.75" hidden="1">
      <c r="C99" s="335">
        <f>IF(C74&gt;C76,"See Tab A","")</f>
      </c>
      <c r="D99" s="335">
        <f>IF(D74&gt;D76,"See Tab C","")</f>
      </c>
    </row>
    <row r="100" spans="3:4" ht="15.75" hidden="1">
      <c r="C100" s="335">
        <f>IF(C75&lt;0,"See Tab B","")</f>
      </c>
      <c r="D100" s="335">
        <f>IF(D75&lt;0,"See Tab D","")</f>
      </c>
    </row>
  </sheetData>
  <sheetProtection/>
  <mergeCells count="14">
    <mergeCell ref="G19:J19"/>
    <mergeCell ref="G26:J26"/>
    <mergeCell ref="G36:J36"/>
    <mergeCell ref="G61:J61"/>
    <mergeCell ref="G68:J68"/>
    <mergeCell ref="G78:J78"/>
    <mergeCell ref="C82:D82"/>
    <mergeCell ref="C43:D43"/>
    <mergeCell ref="C77:D77"/>
    <mergeCell ref="C78:D78"/>
    <mergeCell ref="C38:D38"/>
    <mergeCell ref="C39:D39"/>
    <mergeCell ref="C81:D81"/>
    <mergeCell ref="C42:D42"/>
  </mergeCells>
  <conditionalFormatting sqref="E33">
    <cfRule type="cellIs" priority="5" dxfId="260" operator="greaterThan" stopIfTrue="1">
      <formula>$E$35*0.1</formula>
    </cfRule>
  </conditionalFormatting>
  <conditionalFormatting sqref="E38">
    <cfRule type="cellIs" priority="6" dxfId="260" operator="greaterThan" stopIfTrue="1">
      <formula>$E$35/0.95-$E$35</formula>
    </cfRule>
  </conditionalFormatting>
  <conditionalFormatting sqref="E72">
    <cfRule type="cellIs" priority="7" dxfId="260" operator="greaterThan" stopIfTrue="1">
      <formula>$E$74*0.1</formula>
    </cfRule>
  </conditionalFormatting>
  <conditionalFormatting sqref="E77">
    <cfRule type="cellIs" priority="8" dxfId="260" operator="greaterThan" stopIfTrue="1">
      <formula>$E$74/0.95-$E$74</formula>
    </cfRule>
  </conditionalFormatting>
  <conditionalFormatting sqref="D35">
    <cfRule type="cellIs" priority="9" dxfId="0" operator="greaterThan" stopIfTrue="1">
      <formula>$D$37</formula>
    </cfRule>
  </conditionalFormatting>
  <conditionalFormatting sqref="C35">
    <cfRule type="cellIs" priority="10" dxfId="0" operator="greaterThan" stopIfTrue="1">
      <formula>$C$37</formula>
    </cfRule>
  </conditionalFormatting>
  <conditionalFormatting sqref="C36 C75">
    <cfRule type="cellIs" priority="11" dxfId="0" operator="lessThan" stopIfTrue="1">
      <formula>0</formula>
    </cfRule>
  </conditionalFormatting>
  <conditionalFormatting sqref="D74">
    <cfRule type="cellIs" priority="12" dxfId="0" operator="greaterThan" stopIfTrue="1">
      <formula>$D$76</formula>
    </cfRule>
  </conditionalFormatting>
  <conditionalFormatting sqref="C74">
    <cfRule type="cellIs" priority="13" dxfId="0" operator="greaterThan" stopIfTrue="1">
      <formula>$C$76</formula>
    </cfRule>
  </conditionalFormatting>
  <conditionalFormatting sqref="C72">
    <cfRule type="cellIs" priority="14" dxfId="0" operator="greaterThan" stopIfTrue="1">
      <formula>$C$74*0.1</formula>
    </cfRule>
  </conditionalFormatting>
  <conditionalFormatting sqref="D72">
    <cfRule type="cellIs" priority="15" dxfId="0" operator="greaterThan" stopIfTrue="1">
      <formula>$D$74*0.1</formula>
    </cfRule>
  </conditionalFormatting>
  <conditionalFormatting sqref="C33">
    <cfRule type="cellIs" priority="16" dxfId="0" operator="greaterThan" stopIfTrue="1">
      <formula>$C$35*0.1</formula>
    </cfRule>
  </conditionalFormatting>
  <conditionalFormatting sqref="D33">
    <cfRule type="cellIs" priority="17" dxfId="0" operator="greaterThan" stopIfTrue="1">
      <formula>$D$35*0.1</formula>
    </cfRule>
  </conditionalFormatting>
  <conditionalFormatting sqref="D60">
    <cfRule type="cellIs" priority="18" dxfId="0" operator="greaterThan" stopIfTrue="1">
      <formula>$D$62*0.1</formula>
    </cfRule>
  </conditionalFormatting>
  <conditionalFormatting sqref="C60">
    <cfRule type="cellIs" priority="19" dxfId="0" operator="greaterThan" stopIfTrue="1">
      <formula>$C$62*0.1</formula>
    </cfRule>
  </conditionalFormatting>
  <conditionalFormatting sqref="D21">
    <cfRule type="cellIs" priority="20" dxfId="0" operator="greaterThan" stopIfTrue="1">
      <formula>$D$23*0.1</formula>
    </cfRule>
  </conditionalFormatting>
  <conditionalFormatting sqref="C21">
    <cfRule type="cellIs" priority="21" dxfId="0" operator="greaterThan" stopIfTrue="1">
      <formula>$C$23*0.1</formula>
    </cfRule>
  </conditionalFormatting>
  <conditionalFormatting sqref="E60">
    <cfRule type="cellIs" priority="22" dxfId="260" operator="greaterThan" stopIfTrue="1">
      <formula>$E$62*0.1+E81</formula>
    </cfRule>
  </conditionalFormatting>
  <conditionalFormatting sqref="E21">
    <cfRule type="cellIs" priority="23" dxfId="260" operator="greaterThan" stopIfTrue="1">
      <formula>$E$23*0.1+E42</formula>
    </cfRule>
  </conditionalFormatting>
  <conditionalFormatting sqref="D75 D36">
    <cfRule type="cellIs" priority="2" dxfId="1" operator="lessThan" stopIfTrue="1">
      <formula>0</formula>
    </cfRule>
    <cfRule type="cellIs" priority="4" dxfId="1"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L100"/>
  <sheetViews>
    <sheetView zoomScalePageLayoutView="0" workbookViewId="0" topLeftCell="A1">
      <selection activeCell="C90" sqref="C90"/>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6" width="8.8984375" style="17" customWidth="1"/>
    <col min="7" max="7" width="10.19921875" style="17" customWidth="1"/>
    <col min="8" max="8" width="8.8984375" style="17" customWidth="1"/>
    <col min="9" max="9" width="5.59765625" style="17" customWidth="1"/>
    <col min="10" max="10" width="10" style="17" customWidth="1"/>
    <col min="11" max="16384" width="8.8984375" style="17" customWidth="1"/>
  </cols>
  <sheetData>
    <row r="1" spans="2:5" ht="15.75">
      <c r="B1" s="124">
        <f>(inputPrYr!D3)</f>
        <v>0</v>
      </c>
      <c r="C1" s="16"/>
      <c r="D1" s="16"/>
      <c r="E1" s="177">
        <f>inputPrYr!C6</f>
        <v>0</v>
      </c>
    </row>
    <row r="2" spans="2:5" ht="15.75">
      <c r="B2" s="16"/>
      <c r="C2" s="16"/>
      <c r="D2" s="16"/>
      <c r="E2" s="120"/>
    </row>
    <row r="3" spans="2:5" ht="15.75">
      <c r="B3" s="27" t="s">
        <v>91</v>
      </c>
      <c r="C3" s="136"/>
      <c r="D3" s="136"/>
      <c r="E3" s="220"/>
    </row>
    <row r="4" spans="2:5" ht="15.75">
      <c r="B4" s="19" t="s">
        <v>23</v>
      </c>
      <c r="C4" s="592" t="s">
        <v>758</v>
      </c>
      <c r="D4" s="593" t="s">
        <v>759</v>
      </c>
      <c r="E4" s="99" t="s">
        <v>760</v>
      </c>
    </row>
    <row r="5" spans="2:5" ht="15.75">
      <c r="B5" s="331">
        <f>inputPrYr!B34</f>
        <v>0</v>
      </c>
      <c r="C5" s="314" t="str">
        <f>CONCATENATE("Actual for ",E1-2,"")</f>
        <v>Actual for -2</v>
      </c>
      <c r="D5" s="314" t="str">
        <f>CONCATENATE("Estimate for ",E1-1,"")</f>
        <v>Estimate for -1</v>
      </c>
      <c r="E5" s="187" t="str">
        <f>CONCATENATE("Year for ",E1,"")</f>
        <v>Year for 0</v>
      </c>
    </row>
    <row r="6" spans="2:5" ht="15.75">
      <c r="B6" s="188" t="s">
        <v>133</v>
      </c>
      <c r="C6" s="189"/>
      <c r="D6" s="313">
        <f>C33</f>
        <v>0</v>
      </c>
      <c r="E6" s="158">
        <f>D33</f>
        <v>0</v>
      </c>
    </row>
    <row r="7" spans="2:5" ht="15.75">
      <c r="B7" s="191" t="s">
        <v>135</v>
      </c>
      <c r="C7" s="113"/>
      <c r="D7" s="113"/>
      <c r="E7" s="51"/>
    </row>
    <row r="8" spans="2:5" ht="15.75">
      <c r="B8" s="105" t="s">
        <v>24</v>
      </c>
      <c r="C8" s="189"/>
      <c r="D8" s="313">
        <f>IF(inputPrYr!H21&gt;0,inputPrYr!G34,inputPrYr!E34)</f>
        <v>0</v>
      </c>
      <c r="E8" s="217" t="s">
        <v>13</v>
      </c>
    </row>
    <row r="9" spans="2:5" ht="15.75">
      <c r="B9" s="105" t="s">
        <v>25</v>
      </c>
      <c r="C9" s="189"/>
      <c r="D9" s="189"/>
      <c r="E9" s="36"/>
    </row>
    <row r="10" spans="2:5" ht="15.75">
      <c r="B10" s="105" t="s">
        <v>26</v>
      </c>
      <c r="C10" s="189"/>
      <c r="D10" s="189"/>
      <c r="E10" s="158" t="str">
        <f>mvalloc!D18</f>
        <v>  </v>
      </c>
    </row>
    <row r="11" spans="2:5" ht="15.75">
      <c r="B11" s="105" t="s">
        <v>27</v>
      </c>
      <c r="C11" s="189"/>
      <c r="D11" s="189"/>
      <c r="E11" s="158" t="str">
        <f>mvalloc!E18</f>
        <v> </v>
      </c>
    </row>
    <row r="12" spans="2:5" ht="15.75">
      <c r="B12" s="113" t="s">
        <v>122</v>
      </c>
      <c r="C12" s="189"/>
      <c r="D12" s="189"/>
      <c r="E12" s="158" t="str">
        <f>mvalloc!F18</f>
        <v> </v>
      </c>
    </row>
    <row r="13" spans="2:5" ht="15.75">
      <c r="B13" s="757" t="s">
        <v>978</v>
      </c>
      <c r="C13" s="189"/>
      <c r="D13" s="189"/>
      <c r="E13" s="158" t="str">
        <f>mvalloc!G18</f>
        <v> </v>
      </c>
    </row>
    <row r="14" spans="2:5" ht="15.75">
      <c r="B14" s="757" t="s">
        <v>979</v>
      </c>
      <c r="C14" s="189"/>
      <c r="D14" s="189"/>
      <c r="E14" s="158" t="str">
        <f>mvalloc!H18</f>
        <v> </v>
      </c>
    </row>
    <row r="15" spans="2:5" ht="15.75">
      <c r="B15" s="36"/>
      <c r="C15" s="189"/>
      <c r="D15" s="189"/>
      <c r="E15" s="36"/>
    </row>
    <row r="16" spans="2:5" ht="15.75">
      <c r="B16" s="196" t="s">
        <v>31</v>
      </c>
      <c r="C16" s="189"/>
      <c r="D16" s="189"/>
      <c r="E16" s="36"/>
    </row>
    <row r="17" spans="2:5" ht="15.75">
      <c r="B17" s="205" t="s">
        <v>237</v>
      </c>
      <c r="C17" s="189"/>
      <c r="D17" s="189"/>
      <c r="E17" s="821">
        <f>nhood!E17*-1</f>
        <v>0</v>
      </c>
    </row>
    <row r="18" spans="2:5" ht="15.75">
      <c r="B18" s="113" t="s">
        <v>236</v>
      </c>
      <c r="C18" s="189"/>
      <c r="D18" s="189"/>
      <c r="E18" s="36"/>
    </row>
    <row r="19" spans="2:10" ht="15.75">
      <c r="B19" s="188" t="s">
        <v>746</v>
      </c>
      <c r="C19" s="315">
        <f>IF(C20*0.1&lt;C18,"Exceed 10% Rule","")</f>
      </c>
      <c r="D19" s="315">
        <f>IF(D20*0.1&lt;D18,"Exceed 10% Rule","")</f>
      </c>
      <c r="E19" s="332">
        <f>IF(E20*0.1+E39&lt;E18,"Exceed 10% Rule","")</f>
      </c>
      <c r="G19" s="1040" t="str">
        <f>CONCATENATE("Desired Carryover Into ",E1+1,"")</f>
        <v>Desired Carryover Into 1</v>
      </c>
      <c r="H19" s="1030"/>
      <c r="I19" s="1030"/>
      <c r="J19" s="1031"/>
    </row>
    <row r="20" spans="2:10" ht="15.75">
      <c r="B20" s="198" t="s">
        <v>32</v>
      </c>
      <c r="C20" s="316">
        <f>SUM(C8:C18)</f>
        <v>0</v>
      </c>
      <c r="D20" s="316">
        <f>SUM(D8:D18)</f>
        <v>0</v>
      </c>
      <c r="E20" s="222">
        <f>SUM(E8:E18)</f>
        <v>0</v>
      </c>
      <c r="G20" s="632"/>
      <c r="H20" s="619"/>
      <c r="I20" s="626"/>
      <c r="J20" s="633"/>
    </row>
    <row r="21" spans="2:10" ht="15.75">
      <c r="B21" s="198" t="s">
        <v>33</v>
      </c>
      <c r="C21" s="316">
        <f>C6+C20</f>
        <v>0</v>
      </c>
      <c r="D21" s="316">
        <f>D6+D20</f>
        <v>0</v>
      </c>
      <c r="E21" s="222">
        <f>E6+E20</f>
        <v>0</v>
      </c>
      <c r="G21" s="631" t="s">
        <v>592</v>
      </c>
      <c r="H21" s="626"/>
      <c r="I21" s="626"/>
      <c r="J21" s="620">
        <v>0</v>
      </c>
    </row>
    <row r="22" spans="2:10" ht="15.75">
      <c r="B22" s="105" t="s">
        <v>35</v>
      </c>
      <c r="C22" s="205"/>
      <c r="D22" s="205"/>
      <c r="E22" s="34"/>
      <c r="G22" s="632" t="s">
        <v>593</v>
      </c>
      <c r="H22" s="619"/>
      <c r="I22" s="619"/>
      <c r="J22" s="657">
        <f>IF(J21=0,"",ROUND((J21+E39-G34)/inputOth!E7*1000,3)-G39)</f>
      </c>
    </row>
    <row r="23" spans="2:10" ht="15.75">
      <c r="B23" s="204"/>
      <c r="C23" s="189"/>
      <c r="D23" s="189"/>
      <c r="E23" s="36"/>
      <c r="G23" s="655" t="str">
        <f>CONCATENATE("",E1," Tot Exp/Non-Appr Must Be:")</f>
        <v>0 Tot Exp/Non-Appr Must Be:</v>
      </c>
      <c r="H23" s="653"/>
      <c r="I23" s="654"/>
      <c r="J23" s="650">
        <f>IF(J21&gt;0,IF(E36&lt;E21,IF(J21=G34,E37,((J21-G34)*(1-D38))+E21),E37+(J21-G34)),0)</f>
        <v>0</v>
      </c>
    </row>
    <row r="24" spans="2:10" ht="15.75">
      <c r="B24" s="204"/>
      <c r="C24" s="189"/>
      <c r="D24" s="189"/>
      <c r="E24" s="36"/>
      <c r="G24" s="548" t="s">
        <v>763</v>
      </c>
      <c r="H24" s="660"/>
      <c r="I24" s="660"/>
      <c r="J24" s="656">
        <f>IF(J21&gt;0,J23-E37,0)</f>
        <v>0</v>
      </c>
    </row>
    <row r="25" spans="2:10" ht="15.75">
      <c r="B25" s="204"/>
      <c r="C25" s="189"/>
      <c r="D25" s="189"/>
      <c r="E25" s="36"/>
      <c r="J25" s="610"/>
    </row>
    <row r="26" spans="2:10" ht="15.75">
      <c r="B26" s="204"/>
      <c r="C26" s="189"/>
      <c r="D26" s="189"/>
      <c r="E26" s="36"/>
      <c r="G26" s="1040" t="str">
        <f>CONCATENATE("Projected Carryover Into ",E1+1,"")</f>
        <v>Projected Carryover Into 1</v>
      </c>
      <c r="H26" s="1036"/>
      <c r="I26" s="1036"/>
      <c r="J26" s="1045"/>
    </row>
    <row r="27" spans="2:10" ht="15.75">
      <c r="B27" s="204"/>
      <c r="C27" s="189"/>
      <c r="D27" s="189"/>
      <c r="E27" s="36"/>
      <c r="G27" s="632"/>
      <c r="H27" s="626"/>
      <c r="I27" s="626"/>
      <c r="J27" s="669"/>
    </row>
    <row r="28" spans="2:10" ht="15.75">
      <c r="B28" s="204"/>
      <c r="C28" s="189"/>
      <c r="D28" s="189"/>
      <c r="E28" s="36"/>
      <c r="G28" s="623">
        <f>D33</f>
        <v>0</v>
      </c>
      <c r="H28" s="624" t="str">
        <f>CONCATENATE("",E1-1," Ending Cash Balance (est.)")</f>
        <v>-1 Ending Cash Balance (est.)</v>
      </c>
      <c r="I28" s="625"/>
      <c r="J28" s="669"/>
    </row>
    <row r="29" spans="2:10" ht="15.75">
      <c r="B29" s="205" t="str">
        <f>CONCATENATE("Cash Forward (",E1," column)")</f>
        <v>Cash Forward (0 column)</v>
      </c>
      <c r="C29" s="189"/>
      <c r="D29" s="189"/>
      <c r="E29" s="36"/>
      <c r="G29" s="623">
        <f>E20</f>
        <v>0</v>
      </c>
      <c r="H29" s="626" t="str">
        <f>CONCATENATE("",E1," Non-AV Receipts (est.)")</f>
        <v>0 Non-AV Receipts (est.)</v>
      </c>
      <c r="I29" s="625"/>
      <c r="J29" s="669"/>
    </row>
    <row r="30" spans="2:11" ht="15.75">
      <c r="B30" s="205" t="s">
        <v>236</v>
      </c>
      <c r="C30" s="189"/>
      <c r="D30" s="189"/>
      <c r="E30" s="36"/>
      <c r="G30" s="627">
        <f>IF(D38&gt;0,E37,E39)</f>
        <v>0</v>
      </c>
      <c r="H30" s="626" t="str">
        <f>CONCATENATE("",E1," Ad Valorem Tax (est.)")</f>
        <v>0 Ad Valorem Tax (est.)</v>
      </c>
      <c r="I30" s="625"/>
      <c r="J30" s="669"/>
      <c r="K30" s="551">
        <f>IF(G30=E39,"","Note: Does not include Delinquent Taxes")</f>
      </c>
    </row>
    <row r="31" spans="2:10" ht="15.75">
      <c r="B31" s="205" t="s">
        <v>747</v>
      </c>
      <c r="C31" s="315">
        <f>IF(C32*0.1&lt;C30,"Exceed 10% Rule","")</f>
      </c>
      <c r="D31" s="315">
        <f>IF(D32*0.1&lt;D30,"Exceed 10% Rule","")</f>
      </c>
      <c r="E31" s="332">
        <f>IF(E32*0.1&lt;E30,"Exceed 10% Rule","")</f>
      </c>
      <c r="G31" s="623">
        <f>SUM(G28:G30)</f>
        <v>0</v>
      </c>
      <c r="H31" s="626" t="str">
        <f>CONCATENATE("Total ",E1," Resources Available")</f>
        <v>Total 0 Resources Available</v>
      </c>
      <c r="I31" s="625"/>
      <c r="J31" s="669"/>
    </row>
    <row r="32" spans="2:10" ht="15.75">
      <c r="B32" s="198" t="s">
        <v>39</v>
      </c>
      <c r="C32" s="316">
        <f>SUM(C23:C30)</f>
        <v>0</v>
      </c>
      <c r="D32" s="316">
        <f>SUM(D23:D30)</f>
        <v>0</v>
      </c>
      <c r="E32" s="222">
        <f>SUM(E23:E30)</f>
        <v>0</v>
      </c>
      <c r="G32" s="628"/>
      <c r="H32" s="626"/>
      <c r="I32" s="626"/>
      <c r="J32" s="669"/>
    </row>
    <row r="33" spans="2:10" ht="15.75">
      <c r="B33" s="105" t="s">
        <v>134</v>
      </c>
      <c r="C33" s="313">
        <f>C21-C32</f>
        <v>0</v>
      </c>
      <c r="D33" s="313">
        <f>D21-D32</f>
        <v>0</v>
      </c>
      <c r="E33" s="217" t="s">
        <v>13</v>
      </c>
      <c r="G33" s="627">
        <f>ROUND(C32*0.05+C32,0)</f>
        <v>0</v>
      </c>
      <c r="H33" s="626" t="str">
        <f>CONCATENATE("Less ",E1-2," Expenditures + 5%")</f>
        <v>Less -2 Expenditures + 5%</v>
      </c>
      <c r="I33" s="625"/>
      <c r="J33" s="669"/>
    </row>
    <row r="34" spans="2:10" ht="15.75">
      <c r="B34" s="122" t="str">
        <f>CONCATENATE("",E1-2,"/",E1-1,"/",E1," Budget Authority Amount:")</f>
        <v>-2/-1/0 Budget Authority Amount:</v>
      </c>
      <c r="C34" s="478">
        <f>inputOth!B75</f>
        <v>0</v>
      </c>
      <c r="D34" s="686">
        <f>inputPrYr!D34</f>
        <v>0</v>
      </c>
      <c r="E34" s="158">
        <f>E32</f>
        <v>0</v>
      </c>
      <c r="G34" s="658">
        <f>G31-G33</f>
        <v>0</v>
      </c>
      <c r="H34" s="659" t="str">
        <f>CONCATENATE("Projected ",E1+1," carryover (est.)")</f>
        <v>Projected 1 carryover (est.)</v>
      </c>
      <c r="I34" s="629"/>
      <c r="J34" s="667"/>
    </row>
    <row r="35" spans="2:10" ht="15.75">
      <c r="B35" s="93"/>
      <c r="C35" s="1025" t="s">
        <v>584</v>
      </c>
      <c r="D35" s="1026"/>
      <c r="E35" s="36"/>
      <c r="G35" s="610"/>
      <c r="H35" s="610"/>
      <c r="I35" s="610"/>
      <c r="J35" s="610"/>
    </row>
    <row r="36" spans="2:10" ht="15.75">
      <c r="B36" s="334" t="str">
        <f>CONCATENATE(C97,"     ",D97)</f>
        <v>     </v>
      </c>
      <c r="C36" s="1027" t="s">
        <v>585</v>
      </c>
      <c r="D36" s="1028"/>
      <c r="E36" s="158">
        <f>E32+E35</f>
        <v>0</v>
      </c>
      <c r="G36" s="1032" t="s">
        <v>819</v>
      </c>
      <c r="H36" s="1033"/>
      <c r="I36" s="1033"/>
      <c r="J36" s="1034"/>
    </row>
    <row r="37" spans="2:12" ht="15.75">
      <c r="B37" s="334" t="str">
        <f>CONCATENATE(C98,"     ",D98)</f>
        <v>     </v>
      </c>
      <c r="C37" s="208"/>
      <c r="D37" s="120" t="s">
        <v>40</v>
      </c>
      <c r="E37" s="158">
        <f>IF(E36-E21&gt;0,E36-E21,0)</f>
        <v>0</v>
      </c>
      <c r="F37" s="207"/>
      <c r="G37" s="662"/>
      <c r="H37" s="624"/>
      <c r="I37" s="651"/>
      <c r="J37" s="652"/>
      <c r="L37" s="551"/>
    </row>
    <row r="38" spans="2:10" ht="15.75">
      <c r="B38" s="120"/>
      <c r="C38" s="320" t="s">
        <v>586</v>
      </c>
      <c r="D38" s="550">
        <f>inputOth!$E$50</f>
        <v>0</v>
      </c>
      <c r="E38" s="158">
        <f>ROUND(IF($D$38&gt;0,($E$37*$D$38),0),0)</f>
        <v>0</v>
      </c>
      <c r="F38" s="207">
        <f>IF(E32/0.95-E32&lt;E35,"Exceeds 5%","")</f>
      </c>
      <c r="G38" s="664" t="str">
        <f>summ!H27</f>
        <v>  </v>
      </c>
      <c r="H38" s="624" t="str">
        <f>CONCATENATE("",E1," Fund Mill Rate")</f>
        <v>0 Fund Mill Rate</v>
      </c>
      <c r="I38" s="651"/>
      <c r="J38" s="652"/>
    </row>
    <row r="39" spans="2:10" ht="16.5" thickBot="1">
      <c r="B39" s="16"/>
      <c r="C39" s="1018" t="str">
        <f>CONCATENATE("Amount of  ",$E$1-1," Ad Valorem Tax")</f>
        <v>Amount of  -1 Ad Valorem Tax</v>
      </c>
      <c r="D39" s="1029"/>
      <c r="E39" s="223">
        <f>E37+E38</f>
        <v>0</v>
      </c>
      <c r="G39" s="663" t="str">
        <f>summ!E27</f>
        <v>  </v>
      </c>
      <c r="H39" s="624" t="str">
        <f>CONCATENATE("",E1-1," Fund Mill Rate")</f>
        <v>-1 Fund Mill Rate</v>
      </c>
      <c r="I39" s="651"/>
      <c r="J39" s="652"/>
    </row>
    <row r="40" spans="2:10" ht="16.5" thickTop="1">
      <c r="B40" s="16"/>
      <c r="C40" s="1043"/>
      <c r="D40" s="1043"/>
      <c r="E40" s="16"/>
      <c r="G40" s="665">
        <f>summ!H43</f>
        <v>0</v>
      </c>
      <c r="H40" s="624" t="str">
        <f>CONCATENATE("Total ",E1," Mill Rate")</f>
        <v>Total 0 Mill Rate</v>
      </c>
      <c r="I40" s="651"/>
      <c r="J40" s="652"/>
    </row>
    <row r="41" spans="2:10" ht="15.75">
      <c r="B41" s="16"/>
      <c r="C41" s="16"/>
      <c r="D41" s="16"/>
      <c r="E41" s="16"/>
      <c r="G41" s="663">
        <f>summ!E43</f>
        <v>0</v>
      </c>
      <c r="H41" s="647" t="str">
        <f>CONCATENATE("Total ",E1-1," Mill Rate")</f>
        <v>Total -1 Mill Rate</v>
      </c>
      <c r="I41" s="648"/>
      <c r="J41" s="649"/>
    </row>
    <row r="42" spans="2:5" ht="15.75">
      <c r="B42" s="19"/>
      <c r="C42" s="97"/>
      <c r="D42" s="97"/>
      <c r="E42" s="97"/>
    </row>
    <row r="43" spans="2:10" ht="15.75">
      <c r="B43" s="19" t="s">
        <v>23</v>
      </c>
      <c r="C43" s="592" t="str">
        <f aca="true" t="shared" si="0" ref="C43:E44">C4</f>
        <v>Prior Year </v>
      </c>
      <c r="D43" s="593" t="str">
        <f t="shared" si="0"/>
        <v>Current Year</v>
      </c>
      <c r="E43" s="99" t="str">
        <f t="shared" si="0"/>
        <v>Proposed Budget</v>
      </c>
      <c r="G43" s="776"/>
      <c r="H43" s="793"/>
      <c r="I43" s="775"/>
      <c r="J43" s="792"/>
    </row>
    <row r="44" spans="2:10" ht="15.75">
      <c r="B44" s="330">
        <f>inputPrYr!B35</f>
        <v>0</v>
      </c>
      <c r="C44" s="314" t="str">
        <f t="shared" si="0"/>
        <v>Actual for -2</v>
      </c>
      <c r="D44" s="314" t="str">
        <f t="shared" si="0"/>
        <v>Estimate for -1</v>
      </c>
      <c r="E44" s="143" t="str">
        <f t="shared" si="0"/>
        <v>Year for 0</v>
      </c>
      <c r="G44" s="765" t="str">
        <f>CONCATENATE("Computed ",E1," tax levy limit amount")</f>
        <v>Computed 0 tax levy limit amount</v>
      </c>
      <c r="H44" s="777"/>
      <c r="I44" s="777"/>
      <c r="J44" s="772">
        <f>Comp1!J47</f>
        <v>0</v>
      </c>
    </row>
    <row r="45" spans="2:10" ht="15.75">
      <c r="B45" s="188" t="s">
        <v>133</v>
      </c>
      <c r="C45" s="189"/>
      <c r="D45" s="313">
        <f>C75</f>
        <v>0</v>
      </c>
      <c r="E45" s="158">
        <f>D75</f>
        <v>0</v>
      </c>
      <c r="G45" s="763" t="str">
        <f>CONCATENATE("Total ",E1," tax levy amount")</f>
        <v>Total 0 tax levy amount</v>
      </c>
      <c r="H45" s="526"/>
      <c r="I45" s="526"/>
      <c r="J45" s="770">
        <f>summ!G43</f>
        <v>0</v>
      </c>
    </row>
    <row r="46" spans="2:5" ht="15.75">
      <c r="B46" s="188" t="s">
        <v>135</v>
      </c>
      <c r="C46" s="113"/>
      <c r="D46" s="113"/>
      <c r="E46" s="51"/>
    </row>
    <row r="47" spans="2:5" ht="15.75">
      <c r="B47" s="105" t="s">
        <v>24</v>
      </c>
      <c r="C47" s="189"/>
      <c r="D47" s="313">
        <f>IF(inputPrYr!H21&gt;0,inputPrYr!G35,inputPrYr!E35)</f>
        <v>0</v>
      </c>
      <c r="E47" s="217" t="s">
        <v>13</v>
      </c>
    </row>
    <row r="48" spans="2:5" ht="15.75">
      <c r="B48" s="105" t="s">
        <v>25</v>
      </c>
      <c r="C48" s="189"/>
      <c r="D48" s="189"/>
      <c r="E48" s="36"/>
    </row>
    <row r="49" spans="2:5" ht="15.75">
      <c r="B49" s="105" t="s">
        <v>26</v>
      </c>
      <c r="C49" s="189"/>
      <c r="D49" s="189"/>
      <c r="E49" s="158" t="str">
        <f>mvalloc!D19</f>
        <v>  </v>
      </c>
    </row>
    <row r="50" spans="2:5" ht="15.75">
      <c r="B50" s="105" t="s">
        <v>27</v>
      </c>
      <c r="C50" s="189"/>
      <c r="D50" s="189"/>
      <c r="E50" s="158" t="str">
        <f>mvalloc!E19</f>
        <v> </v>
      </c>
    </row>
    <row r="51" spans="2:5" ht="15.75">
      <c r="B51" s="113" t="s">
        <v>122</v>
      </c>
      <c r="C51" s="189"/>
      <c r="D51" s="189"/>
      <c r="E51" s="158" t="str">
        <f>mvalloc!F19</f>
        <v> </v>
      </c>
    </row>
    <row r="52" spans="2:5" ht="15.75">
      <c r="B52" s="757" t="s">
        <v>978</v>
      </c>
      <c r="C52" s="189"/>
      <c r="D52" s="189"/>
      <c r="E52" s="158" t="str">
        <f>mvalloc!G19</f>
        <v> </v>
      </c>
    </row>
    <row r="53" spans="2:5" ht="15.75">
      <c r="B53" s="757" t="s">
        <v>979</v>
      </c>
      <c r="C53" s="189"/>
      <c r="D53" s="189"/>
      <c r="E53" s="158" t="str">
        <f>mvalloc!H19</f>
        <v> </v>
      </c>
    </row>
    <row r="54" spans="2:5" ht="15.75">
      <c r="B54" s="36"/>
      <c r="C54" s="189"/>
      <c r="D54" s="189"/>
      <c r="E54" s="36"/>
    </row>
    <row r="55" spans="2:5" ht="15.75">
      <c r="B55" s="204"/>
      <c r="C55" s="189"/>
      <c r="D55" s="189"/>
      <c r="E55" s="36"/>
    </row>
    <row r="56" spans="2:5" ht="15.75">
      <c r="B56" s="204"/>
      <c r="C56" s="189"/>
      <c r="D56" s="189"/>
      <c r="E56" s="36"/>
    </row>
    <row r="57" spans="2:5" ht="15.75">
      <c r="B57" s="204"/>
      <c r="C57" s="189"/>
      <c r="D57" s="189"/>
      <c r="E57" s="36"/>
    </row>
    <row r="58" spans="2:5" ht="15.75">
      <c r="B58" s="196" t="s">
        <v>31</v>
      </c>
      <c r="C58" s="189"/>
      <c r="D58" s="189"/>
      <c r="E58" s="36"/>
    </row>
    <row r="59" spans="2:5" ht="15.75">
      <c r="B59" s="205" t="s">
        <v>237</v>
      </c>
      <c r="C59" s="189"/>
      <c r="D59" s="189"/>
      <c r="E59" s="821">
        <f>nhood!E18*-1</f>
        <v>0</v>
      </c>
    </row>
    <row r="60" spans="2:5" ht="15.75">
      <c r="B60" s="113" t="s">
        <v>236</v>
      </c>
      <c r="C60" s="189"/>
      <c r="D60" s="189"/>
      <c r="E60" s="36"/>
    </row>
    <row r="61" spans="2:10" ht="15.75">
      <c r="B61" s="188" t="s">
        <v>746</v>
      </c>
      <c r="C61" s="315">
        <f>IF(C62*0.1&lt;C60,"Exceed 10% Rule","")</f>
      </c>
      <c r="D61" s="315">
        <f>IF(D62*0.1&lt;D60,"Exceed 10% Rule","")</f>
      </c>
      <c r="E61" s="332">
        <f>IF(E62*0.1+E81&lt;E60,"Exceed 10% Rule","")</f>
      </c>
      <c r="G61" s="1040" t="str">
        <f>CONCATENATE("Desired Carryover Into ",E1+1,"")</f>
        <v>Desired Carryover Into 1</v>
      </c>
      <c r="H61" s="1030"/>
      <c r="I61" s="1030"/>
      <c r="J61" s="1031"/>
    </row>
    <row r="62" spans="2:10" ht="15.75">
      <c r="B62" s="198" t="s">
        <v>32</v>
      </c>
      <c r="C62" s="316">
        <f>SUM(C47:C60)</f>
        <v>0</v>
      </c>
      <c r="D62" s="316">
        <f>SUM(D47:D60)</f>
        <v>0</v>
      </c>
      <c r="E62" s="222">
        <f>SUM(E47:E60)</f>
        <v>0</v>
      </c>
      <c r="G62" s="632"/>
      <c r="H62" s="619"/>
      <c r="I62" s="626"/>
      <c r="J62" s="633"/>
    </row>
    <row r="63" spans="2:10" ht="15.75">
      <c r="B63" s="198" t="s">
        <v>33</v>
      </c>
      <c r="C63" s="316">
        <f>C45+C62</f>
        <v>0</v>
      </c>
      <c r="D63" s="316">
        <f>D45+D62</f>
        <v>0</v>
      </c>
      <c r="E63" s="222">
        <f>E45+E62</f>
        <v>0</v>
      </c>
      <c r="G63" s="631" t="s">
        <v>592</v>
      </c>
      <c r="H63" s="626"/>
      <c r="I63" s="626"/>
      <c r="J63" s="620">
        <v>0</v>
      </c>
    </row>
    <row r="64" spans="2:10" ht="15.75">
      <c r="B64" s="105" t="s">
        <v>35</v>
      </c>
      <c r="C64" s="205"/>
      <c r="D64" s="205"/>
      <c r="E64" s="34"/>
      <c r="G64" s="632" t="s">
        <v>593</v>
      </c>
      <c r="H64" s="619"/>
      <c r="I64" s="619"/>
      <c r="J64" s="657">
        <f>IF(J63=0,"",ROUND((J63+E81-G76)/inputOth!E7*1000,3)-G81)</f>
      </c>
    </row>
    <row r="65" spans="2:10" ht="15.75">
      <c r="B65" s="204"/>
      <c r="C65" s="189"/>
      <c r="D65" s="189"/>
      <c r="E65" s="36"/>
      <c r="G65" s="655" t="str">
        <f>CONCATENATE("",E1," Tot Exp/Non-Appr Must Be:")</f>
        <v>0 Tot Exp/Non-Appr Must Be:</v>
      </c>
      <c r="H65" s="653"/>
      <c r="I65" s="654"/>
      <c r="J65" s="650">
        <f>IF(J63&gt;0,IF(E78&lt;E63,IF(J63=G76,E78,((J63-G76)*(1-D80))+E63),E78+(J63-G76)),0)</f>
        <v>0</v>
      </c>
    </row>
    <row r="66" spans="2:10" ht="15.75">
      <c r="B66" s="204"/>
      <c r="C66" s="189"/>
      <c r="D66" s="189"/>
      <c r="E66" s="36"/>
      <c r="G66" s="548" t="s">
        <v>763</v>
      </c>
      <c r="H66" s="660"/>
      <c r="I66" s="660"/>
      <c r="J66" s="656">
        <f>IF(J63&gt;0,J65-E78,0)</f>
        <v>0</v>
      </c>
    </row>
    <row r="67" spans="2:10" ht="15.75">
      <c r="B67" s="204"/>
      <c r="C67" s="189"/>
      <c r="D67" s="189"/>
      <c r="E67" s="36"/>
      <c r="J67" s="610"/>
    </row>
    <row r="68" spans="2:10" ht="15.75">
      <c r="B68" s="204"/>
      <c r="C68" s="189"/>
      <c r="D68" s="189"/>
      <c r="E68" s="36"/>
      <c r="G68" s="1040" t="str">
        <f>CONCATENATE("Projected Carryover Into ",E1+1,"")</f>
        <v>Projected Carryover Into 1</v>
      </c>
      <c r="H68" s="1046"/>
      <c r="I68" s="1046"/>
      <c r="J68" s="1045"/>
    </row>
    <row r="69" spans="2:10" ht="15.75">
      <c r="B69" s="204"/>
      <c r="C69" s="189"/>
      <c r="D69" s="189"/>
      <c r="E69" s="36"/>
      <c r="G69" s="621"/>
      <c r="H69" s="619"/>
      <c r="I69" s="619"/>
      <c r="J69" s="669"/>
    </row>
    <row r="70" spans="2:10" ht="15.75">
      <c r="B70" s="204"/>
      <c r="C70" s="189"/>
      <c r="D70" s="189"/>
      <c r="E70" s="36"/>
      <c r="G70" s="623">
        <f>D75</f>
        <v>0</v>
      </c>
      <c r="H70" s="624" t="str">
        <f>CONCATENATE("",E1-1," Ending Cash Balance (est.)")</f>
        <v>-1 Ending Cash Balance (est.)</v>
      </c>
      <c r="I70" s="625"/>
      <c r="J70" s="669"/>
    </row>
    <row r="71" spans="2:10" ht="15.75">
      <c r="B71" s="205" t="str">
        <f>CONCATENATE("Cash Forward (",E1," column)")</f>
        <v>Cash Forward (0 column)</v>
      </c>
      <c r="C71" s="189"/>
      <c r="D71" s="189"/>
      <c r="E71" s="36"/>
      <c r="G71" s="623">
        <f>E62</f>
        <v>0</v>
      </c>
      <c r="H71" s="626" t="str">
        <f>CONCATENATE("",E1," Non-AV Receipts (est.)")</f>
        <v>0 Non-AV Receipts (est.)</v>
      </c>
      <c r="I71" s="625"/>
      <c r="J71" s="669"/>
    </row>
    <row r="72" spans="2:11" ht="15.75">
      <c r="B72" s="205" t="s">
        <v>236</v>
      </c>
      <c r="C72" s="189"/>
      <c r="D72" s="189"/>
      <c r="E72" s="36"/>
      <c r="G72" s="627">
        <f>IF(D80&gt;0,E79,E81)</f>
        <v>0</v>
      </c>
      <c r="H72" s="626" t="str">
        <f>CONCATENATE("",E1," Ad Valorem Tax (est.)")</f>
        <v>0 Ad Valorem Tax (est.)</v>
      </c>
      <c r="I72" s="625"/>
      <c r="J72" s="669"/>
      <c r="K72" s="551">
        <f>IF(G72=E81,"","Note: Does not include Delinquent Taxes")</f>
      </c>
    </row>
    <row r="73" spans="2:10" ht="15.75">
      <c r="B73" s="205" t="s">
        <v>747</v>
      </c>
      <c r="C73" s="315">
        <f>IF(C74*0.1&lt;C72,"Exceed 10% Rule","")</f>
      </c>
      <c r="D73" s="315">
        <f>IF(D74*0.1&lt;D72,"Exceed 10% Rule","")</f>
      </c>
      <c r="E73" s="332">
        <f>IF(E74*0.1&lt;E72,"Exceed 10% Rule","")</f>
      </c>
      <c r="G73" s="634">
        <f>SUM(G70:G72)</f>
        <v>0</v>
      </c>
      <c r="H73" s="626" t="str">
        <f>CONCATENATE("Total ",E1," Resources Available")</f>
        <v>Total 0 Resources Available</v>
      </c>
      <c r="I73" s="622"/>
      <c r="J73" s="669"/>
    </row>
    <row r="74" spans="2:10" ht="15.75">
      <c r="B74" s="198" t="s">
        <v>39</v>
      </c>
      <c r="C74" s="316">
        <f>SUM(C65:C72)</f>
        <v>0</v>
      </c>
      <c r="D74" s="316">
        <f>SUM(D65:D72)</f>
        <v>0</v>
      </c>
      <c r="E74" s="222">
        <f>SUM(E65:E72)</f>
        <v>0</v>
      </c>
      <c r="G74" s="637"/>
      <c r="H74" s="635"/>
      <c r="I74" s="619"/>
      <c r="J74" s="669"/>
    </row>
    <row r="75" spans="2:10" ht="15.75">
      <c r="B75" s="105" t="s">
        <v>134</v>
      </c>
      <c r="C75" s="313">
        <f>C63-C74</f>
        <v>0</v>
      </c>
      <c r="D75" s="313">
        <f>D63-D74</f>
        <v>0</v>
      </c>
      <c r="E75" s="217" t="s">
        <v>13</v>
      </c>
      <c r="G75" s="636">
        <f>ROUND(C74*0.05+C74,0)</f>
        <v>0</v>
      </c>
      <c r="H75" s="635" t="str">
        <f>CONCATENATE("Less ",E1-2," Expenditures + 5%")</f>
        <v>Less -2 Expenditures + 5%</v>
      </c>
      <c r="I75" s="622"/>
      <c r="J75" s="669"/>
    </row>
    <row r="76" spans="2:10" ht="15.75">
      <c r="B76" s="122" t="str">
        <f>CONCATENATE("",E1-2,"/",E1-1,"/",E1," Budget Authority Amount:")</f>
        <v>-2/-1/0 Budget Authority Amount:</v>
      </c>
      <c r="C76" s="478">
        <f>inputOth!B76</f>
        <v>0</v>
      </c>
      <c r="D76" s="685">
        <f>inputPrYr!D35</f>
        <v>0</v>
      </c>
      <c r="E76" s="158">
        <f>E74</f>
        <v>0</v>
      </c>
      <c r="G76" s="638">
        <f>G73-G75</f>
        <v>0</v>
      </c>
      <c r="H76" s="639" t="str">
        <f>CONCATENATE("Projected ",E1+1," carryover (est.)")</f>
        <v>Projected 1 carryover (est.)</v>
      </c>
      <c r="I76" s="630"/>
      <c r="J76" s="667"/>
    </row>
    <row r="77" spans="2:9" ht="15.75">
      <c r="B77" s="93"/>
      <c r="C77" s="1025" t="s">
        <v>584</v>
      </c>
      <c r="D77" s="1026"/>
      <c r="E77" s="36"/>
      <c r="G77" s="610"/>
      <c r="H77" s="610"/>
      <c r="I77" s="610"/>
    </row>
    <row r="78" spans="2:10" ht="15.75">
      <c r="B78" s="334" t="str">
        <f>CONCATENATE(C99,"     ",D99)</f>
        <v>     </v>
      </c>
      <c r="C78" s="1027" t="s">
        <v>585</v>
      </c>
      <c r="D78" s="1028"/>
      <c r="E78" s="158">
        <f>E74+E77</f>
        <v>0</v>
      </c>
      <c r="G78" s="1032" t="s">
        <v>819</v>
      </c>
      <c r="H78" s="1033"/>
      <c r="I78" s="1033"/>
      <c r="J78" s="1034"/>
    </row>
    <row r="79" spans="2:10" ht="15.75">
      <c r="B79" s="334" t="str">
        <f>CONCATENATE(C100,"     ",D100)</f>
        <v>     </v>
      </c>
      <c r="C79" s="208"/>
      <c r="D79" s="120" t="s">
        <v>40</v>
      </c>
      <c r="E79" s="158">
        <f>IF(E78-E63&gt;0,E78-E63,0)</f>
        <v>0</v>
      </c>
      <c r="F79" s="207"/>
      <c r="G79" s="662"/>
      <c r="H79" s="624"/>
      <c r="I79" s="651"/>
      <c r="J79" s="652"/>
    </row>
    <row r="80" spans="2:10" ht="15.75">
      <c r="B80" s="120"/>
      <c r="C80" s="320" t="s">
        <v>586</v>
      </c>
      <c r="D80" s="550">
        <f>inputOth!$E$50</f>
        <v>0</v>
      </c>
      <c r="E80" s="158">
        <f>ROUND(IF(D80&gt;0,(E79*D80),0),0)</f>
        <v>0</v>
      </c>
      <c r="F80" s="207">
        <f>IF(E74/0.95-E74&lt;E77,"Exceeds 5%","")</f>
      </c>
      <c r="G80" s="664" t="str">
        <f>summ!H28</f>
        <v>  </v>
      </c>
      <c r="H80" s="624" t="str">
        <f>CONCATENATE("",E1," Fund Mill Rate")</f>
        <v>0 Fund Mill Rate</v>
      </c>
      <c r="I80" s="651"/>
      <c r="J80" s="652"/>
    </row>
    <row r="81" spans="2:10" ht="16.5" thickBot="1">
      <c r="B81" s="16"/>
      <c r="C81" s="1018" t="str">
        <f>CONCATENATE("Amount of  ",$E$1-1," Ad Valorem Tax")</f>
        <v>Amount of  -1 Ad Valorem Tax</v>
      </c>
      <c r="D81" s="1029"/>
      <c r="E81" s="223">
        <f>E79+E80</f>
        <v>0</v>
      </c>
      <c r="G81" s="663" t="str">
        <f>summ!E28</f>
        <v>  </v>
      </c>
      <c r="H81" s="624" t="str">
        <f>CONCATENATE("",E1-1," Fund Mill Rate")</f>
        <v>-1 Fund Mill Rate</v>
      </c>
      <c r="I81" s="651"/>
      <c r="J81" s="652"/>
    </row>
    <row r="82" spans="2:10" ht="16.5" thickTop="1">
      <c r="B82" s="16"/>
      <c r="C82" s="1043"/>
      <c r="D82" s="1043"/>
      <c r="E82" s="16"/>
      <c r="G82" s="665">
        <f>summ!H43</f>
        <v>0</v>
      </c>
      <c r="H82" s="624" t="str">
        <f>CONCATENATE("Total ",E1," Mill Rate")</f>
        <v>Total 0 Mill Rate</v>
      </c>
      <c r="I82" s="651"/>
      <c r="J82" s="652"/>
    </row>
    <row r="83" spans="2:10" ht="15.75">
      <c r="B83" s="961" t="s">
        <v>999</v>
      </c>
      <c r="C83" s="841"/>
      <c r="D83" s="841"/>
      <c r="E83" s="842"/>
      <c r="G83" s="663">
        <f>summ!E43</f>
        <v>0</v>
      </c>
      <c r="H83" s="647" t="str">
        <f>CONCATENATE("Total ",E1-1," Mill Rate")</f>
        <v>Total -1 Mill Rate</v>
      </c>
      <c r="I83" s="648"/>
      <c r="J83" s="649"/>
    </row>
    <row r="84" spans="2:5" ht="15.75">
      <c r="B84" s="48"/>
      <c r="C84" s="321"/>
      <c r="D84" s="321"/>
      <c r="E84" s="613"/>
    </row>
    <row r="85" spans="2:10" ht="15.75">
      <c r="B85" s="512"/>
      <c r="C85" s="843"/>
      <c r="D85" s="843"/>
      <c r="E85" s="55"/>
      <c r="G85" s="776"/>
      <c r="H85" s="793"/>
      <c r="I85" s="775"/>
      <c r="J85" s="792"/>
    </row>
    <row r="86" spans="2:10" ht="15.75">
      <c r="B86" s="16"/>
      <c r="C86" s="16"/>
      <c r="D86" s="16"/>
      <c r="E86" s="16"/>
      <c r="G86" s="765" t="str">
        <f>CONCATENATE("Computed ",E1," tax levy limit amount")</f>
        <v>Computed 0 tax levy limit amount</v>
      </c>
      <c r="H86" s="769"/>
      <c r="I86" s="769"/>
      <c r="J86" s="772">
        <f>Comp1!J47</f>
        <v>0</v>
      </c>
    </row>
    <row r="87" spans="2:10" ht="15.75">
      <c r="B87" s="93" t="s">
        <v>42</v>
      </c>
      <c r="C87" s="711"/>
      <c r="D87" s="16"/>
      <c r="E87" s="16"/>
      <c r="G87" s="763" t="str">
        <f>CONCATENATE("Total ",E1," tax levy amount")</f>
        <v>Total 0 tax levy amount</v>
      </c>
      <c r="H87" s="768"/>
      <c r="I87" s="768"/>
      <c r="J87" s="770">
        <f>summ!G43</f>
        <v>0</v>
      </c>
    </row>
    <row r="97" spans="3:4" ht="15.75" hidden="1">
      <c r="C97" s="335">
        <f>IF(C32&gt;C34,"See Tab A","")</f>
      </c>
      <c r="D97" s="335">
        <f>IF(D32&gt;D34,"See Tab C","")</f>
      </c>
    </row>
    <row r="98" spans="3:4" ht="15.75" hidden="1">
      <c r="C98" s="335">
        <f>IF(C33&lt;0,"See Tab B","")</f>
      </c>
      <c r="D98" s="335">
        <f>IF(D33&lt;0,"See Tab D","")</f>
      </c>
    </row>
    <row r="99" spans="3:4" ht="15.75" hidden="1">
      <c r="C99" s="335">
        <f>IF(C74&gt;C76,"See Tab A","")</f>
      </c>
      <c r="D99" s="335">
        <f>IF(D74&gt;D76,"See Tab C","")</f>
      </c>
    </row>
    <row r="100" spans="3:4" ht="15.75" hidden="1">
      <c r="C100" s="335">
        <f>IF(C75&lt;0,"See Tab B","")</f>
      </c>
      <c r="D100" s="335">
        <f>IF(D75&lt;0,"See Tab D","")</f>
      </c>
    </row>
  </sheetData>
  <sheetProtection/>
  <mergeCells count="14">
    <mergeCell ref="G19:J19"/>
    <mergeCell ref="G26:J26"/>
    <mergeCell ref="G36:J36"/>
    <mergeCell ref="G61:J61"/>
    <mergeCell ref="G68:J68"/>
    <mergeCell ref="G78:J78"/>
    <mergeCell ref="C82:D82"/>
    <mergeCell ref="C40:D40"/>
    <mergeCell ref="C77:D77"/>
    <mergeCell ref="C78:D78"/>
    <mergeCell ref="C35:D35"/>
    <mergeCell ref="C36:D36"/>
    <mergeCell ref="C39:D39"/>
    <mergeCell ref="C81:D81"/>
  </mergeCells>
  <conditionalFormatting sqref="E30">
    <cfRule type="cellIs" priority="3" dxfId="260" operator="greaterThan" stopIfTrue="1">
      <formula>$E$32*0.1</formula>
    </cfRule>
  </conditionalFormatting>
  <conditionalFormatting sqref="E35">
    <cfRule type="cellIs" priority="4" dxfId="260" operator="greaterThan" stopIfTrue="1">
      <formula>$E$32/0.95-$E$32</formula>
    </cfRule>
  </conditionalFormatting>
  <conditionalFormatting sqref="E72">
    <cfRule type="cellIs" priority="5" dxfId="260" operator="greaterThan" stopIfTrue="1">
      <formula>$E$74*0.1</formula>
    </cfRule>
  </conditionalFormatting>
  <conditionalFormatting sqref="E77">
    <cfRule type="cellIs" priority="6" dxfId="260" operator="greaterThan" stopIfTrue="1">
      <formula>$E$74/0.95-$E$74</formula>
    </cfRule>
  </conditionalFormatting>
  <conditionalFormatting sqref="D32">
    <cfRule type="cellIs" priority="7" dxfId="0" operator="greaterThan" stopIfTrue="1">
      <formula>$D$34</formula>
    </cfRule>
  </conditionalFormatting>
  <conditionalFormatting sqref="C32">
    <cfRule type="cellIs" priority="8" dxfId="0" operator="greaterThan" stopIfTrue="1">
      <formula>$C$34</formula>
    </cfRule>
  </conditionalFormatting>
  <conditionalFormatting sqref="C33 C75">
    <cfRule type="cellIs" priority="9" dxfId="0" operator="lessThan" stopIfTrue="1">
      <formula>0</formula>
    </cfRule>
  </conditionalFormatting>
  <conditionalFormatting sqref="D74">
    <cfRule type="cellIs" priority="10" dxfId="0" operator="greaterThan" stopIfTrue="1">
      <formula>$D$76</formula>
    </cfRule>
  </conditionalFormatting>
  <conditionalFormatting sqref="C74">
    <cfRule type="cellIs" priority="11" dxfId="0" operator="greaterThan" stopIfTrue="1">
      <formula>$C$76</formula>
    </cfRule>
  </conditionalFormatting>
  <conditionalFormatting sqref="C72">
    <cfRule type="cellIs" priority="12" dxfId="0" operator="greaterThan" stopIfTrue="1">
      <formula>$C$74*0.1</formula>
    </cfRule>
  </conditionalFormatting>
  <conditionalFormatting sqref="D72">
    <cfRule type="cellIs" priority="13" dxfId="0" operator="greaterThan" stopIfTrue="1">
      <formula>$D$74*0.1</formula>
    </cfRule>
  </conditionalFormatting>
  <conditionalFormatting sqref="C30">
    <cfRule type="cellIs" priority="14" dxfId="0" operator="greaterThan" stopIfTrue="1">
      <formula>$C$32*0.1</formula>
    </cfRule>
  </conditionalFormatting>
  <conditionalFormatting sqref="D30">
    <cfRule type="cellIs" priority="15" dxfId="0" operator="greaterThan" stopIfTrue="1">
      <formula>$D$32*0.1</formula>
    </cfRule>
  </conditionalFormatting>
  <conditionalFormatting sqref="D60">
    <cfRule type="cellIs" priority="16" dxfId="0" operator="greaterThan" stopIfTrue="1">
      <formula>$D$62*0.1</formula>
    </cfRule>
  </conditionalFormatting>
  <conditionalFormatting sqref="C60">
    <cfRule type="cellIs" priority="17" dxfId="0" operator="greaterThan" stopIfTrue="1">
      <formula>$C$62*0.1</formula>
    </cfRule>
  </conditionalFormatting>
  <conditionalFormatting sqref="D18">
    <cfRule type="cellIs" priority="18" dxfId="0" operator="greaterThan" stopIfTrue="1">
      <formula>$D$20*0.1</formula>
    </cfRule>
  </conditionalFormatting>
  <conditionalFormatting sqref="C18">
    <cfRule type="cellIs" priority="19" dxfId="0" operator="greaterThan" stopIfTrue="1">
      <formula>$C$20*0.1</formula>
    </cfRule>
  </conditionalFormatting>
  <conditionalFormatting sqref="E60">
    <cfRule type="cellIs" priority="20" dxfId="260" operator="greaterThan" stopIfTrue="1">
      <formula>$E$62*0.1+E81</formula>
    </cfRule>
  </conditionalFormatting>
  <conditionalFormatting sqref="E18">
    <cfRule type="cellIs" priority="21" dxfId="260" operator="greaterThan" stopIfTrue="1">
      <formula>$E$20*0.1+E39</formula>
    </cfRule>
  </conditionalFormatting>
  <conditionalFormatting sqref="D75 D33">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0"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1">
      <selection activeCell="C78" sqref="C78"/>
    </sheetView>
  </sheetViews>
  <sheetFormatPr defaultColWidth="8.796875" defaultRowHeight="15"/>
  <cols>
    <col min="1" max="1" width="2.3984375" style="17" customWidth="1"/>
    <col min="2" max="2" width="31.09765625" style="17" customWidth="1"/>
    <col min="3" max="4" width="15.796875" style="17" customWidth="1"/>
    <col min="5" max="5" width="16.19921875" style="17" customWidth="1"/>
    <col min="6" max="16384" width="8.8984375" style="17" customWidth="1"/>
  </cols>
  <sheetData>
    <row r="1" spans="2:5" ht="15.75">
      <c r="B1" s="124">
        <f>(inputPrYr!D3)</f>
        <v>0</v>
      </c>
      <c r="C1" s="16"/>
      <c r="D1" s="16"/>
      <c r="E1" s="177">
        <f>inputPrYr!C6</f>
        <v>0</v>
      </c>
    </row>
    <row r="2" spans="2:5" ht="15.75">
      <c r="B2" s="16"/>
      <c r="C2" s="16"/>
      <c r="D2" s="16"/>
      <c r="E2" s="120"/>
    </row>
    <row r="3" spans="2:5" ht="15.75">
      <c r="B3" s="27" t="s">
        <v>92</v>
      </c>
      <c r="C3" s="221"/>
      <c r="D3" s="221"/>
      <c r="E3" s="221"/>
    </row>
    <row r="4" spans="2:5" ht="15.75">
      <c r="B4" s="19" t="s">
        <v>23</v>
      </c>
      <c r="C4" s="592" t="s">
        <v>758</v>
      </c>
      <c r="D4" s="593" t="s">
        <v>759</v>
      </c>
      <c r="E4" s="99" t="s">
        <v>760</v>
      </c>
    </row>
    <row r="5" spans="2:5" ht="15.75">
      <c r="B5" s="331" t="str">
        <f>(inputPrYr!B39)</f>
        <v>Special Highway</v>
      </c>
      <c r="C5" s="314" t="str">
        <f>CONCATENATE("Actual for ",E1-2,"")</f>
        <v>Actual for -2</v>
      </c>
      <c r="D5" s="314" t="str">
        <f>CONCATENATE("Estimate for ",E1-1,"")</f>
        <v>Estimate for -1</v>
      </c>
      <c r="E5" s="187" t="str">
        <f>CONCATENATE("Year for ",E1,"")</f>
        <v>Year for 0</v>
      </c>
    </row>
    <row r="6" spans="2:5" ht="15.75">
      <c r="B6" s="188" t="s">
        <v>133</v>
      </c>
      <c r="C6" s="36"/>
      <c r="D6" s="158">
        <f>C26</f>
        <v>0</v>
      </c>
      <c r="E6" s="158">
        <f>D26</f>
        <v>0</v>
      </c>
    </row>
    <row r="7" spans="2:5" ht="15.75">
      <c r="B7" s="191" t="s">
        <v>135</v>
      </c>
      <c r="C7" s="51"/>
      <c r="D7" s="51"/>
      <c r="E7" s="51"/>
    </row>
    <row r="8" spans="2:5" ht="15.75">
      <c r="B8" s="205" t="s">
        <v>125</v>
      </c>
      <c r="C8" s="36"/>
      <c r="D8" s="158">
        <f>inputOth!E56</f>
        <v>0</v>
      </c>
      <c r="E8" s="158">
        <f>inputOth!E54</f>
        <v>0</v>
      </c>
    </row>
    <row r="9" spans="2:5" ht="15.75">
      <c r="B9" s="205" t="s">
        <v>231</v>
      </c>
      <c r="C9" s="36"/>
      <c r="D9" s="158">
        <f>inputOth!E57</f>
        <v>0</v>
      </c>
      <c r="E9" s="158">
        <f>inputOth!E55</f>
        <v>0</v>
      </c>
    </row>
    <row r="10" spans="2:5" ht="15.75">
      <c r="B10" s="204"/>
      <c r="C10" s="36"/>
      <c r="D10" s="36"/>
      <c r="E10" s="36"/>
    </row>
    <row r="11" spans="2:5" ht="15.75">
      <c r="B11" s="204"/>
      <c r="C11" s="36"/>
      <c r="D11" s="36"/>
      <c r="E11" s="36"/>
    </row>
    <row r="12" spans="2:5" ht="15.75">
      <c r="B12" s="196" t="s">
        <v>31</v>
      </c>
      <c r="C12" s="36"/>
      <c r="D12" s="36"/>
      <c r="E12" s="36"/>
    </row>
    <row r="13" spans="2:5" ht="15.75">
      <c r="B13" s="113" t="s">
        <v>236</v>
      </c>
      <c r="C13" s="36"/>
      <c r="D13" s="36"/>
      <c r="E13" s="36"/>
    </row>
    <row r="14" spans="2:5" ht="15.75">
      <c r="B14" s="188" t="s">
        <v>746</v>
      </c>
      <c r="C14" s="332">
        <f>IF(C15*0.1&lt;C13,"Exceed 10% Rule","")</f>
      </c>
      <c r="D14" s="218">
        <f>IF(D15*0.1&lt;D13,"Exceed 10% Rule","")</f>
      </c>
      <c r="E14" s="218">
        <f>IF(E15*0.1&lt;E13,"Exceed 10% Rule","")</f>
      </c>
    </row>
    <row r="15" spans="2:5" ht="15.75">
      <c r="B15" s="198" t="s">
        <v>32</v>
      </c>
      <c r="C15" s="222">
        <f>SUM(C8:C13)</f>
        <v>0</v>
      </c>
      <c r="D15" s="222">
        <f>SUM(D8:D13)</f>
        <v>0</v>
      </c>
      <c r="E15" s="222">
        <f>SUM(E8:E13)</f>
        <v>0</v>
      </c>
    </row>
    <row r="16" spans="2:5" ht="15.75">
      <c r="B16" s="198" t="s">
        <v>33</v>
      </c>
      <c r="C16" s="222">
        <f>C6+C15</f>
        <v>0</v>
      </c>
      <c r="D16" s="222">
        <f>D6+D15</f>
        <v>0</v>
      </c>
      <c r="E16" s="222">
        <f>E6+E15</f>
        <v>0</v>
      </c>
    </row>
    <row r="17" spans="2:5" ht="15.75">
      <c r="B17" s="105" t="s">
        <v>35</v>
      </c>
      <c r="C17" s="158"/>
      <c r="D17" s="158"/>
      <c r="E17" s="158"/>
    </row>
    <row r="18" spans="2:5" ht="15.75">
      <c r="B18" s="204"/>
      <c r="C18" s="36"/>
      <c r="D18" s="36"/>
      <c r="E18" s="36"/>
    </row>
    <row r="19" spans="2:5" ht="15.75">
      <c r="B19" s="204"/>
      <c r="C19" s="36"/>
      <c r="D19" s="36"/>
      <c r="E19" s="36"/>
    </row>
    <row r="20" spans="2:5" ht="15.75">
      <c r="B20" s="204"/>
      <c r="C20" s="36"/>
      <c r="D20" s="36"/>
      <c r="E20" s="36"/>
    </row>
    <row r="21" spans="2:5" ht="15.75">
      <c r="B21" s="204"/>
      <c r="C21" s="36"/>
      <c r="D21" s="36"/>
      <c r="E21" s="36"/>
    </row>
    <row r="22" spans="2:5" ht="15.75">
      <c r="B22" s="205" t="str">
        <f>CONCATENATE("Cash Forward (",E1," column)")</f>
        <v>Cash Forward (0 column)</v>
      </c>
      <c r="C22" s="36"/>
      <c r="D22" s="36"/>
      <c r="E22" s="36"/>
    </row>
    <row r="23" spans="2:5" ht="15.75">
      <c r="B23" s="205" t="s">
        <v>236</v>
      </c>
      <c r="C23" s="36"/>
      <c r="D23" s="36"/>
      <c r="E23" s="36"/>
    </row>
    <row r="24" spans="2:5" ht="15.75">
      <c r="B24" s="205" t="s">
        <v>747</v>
      </c>
      <c r="C24" s="332">
        <f>IF(C25*0.1&lt;C23,"Exceed 10% Rule","")</f>
      </c>
      <c r="D24" s="218">
        <f>IF(D25*0.1&lt;D23,"Exceed 10% Rule","")</f>
      </c>
      <c r="E24" s="218">
        <f>IF(E25*0.1&lt;E23,"Exceed 10% Rule","")</f>
      </c>
    </row>
    <row r="25" spans="2:5" ht="15.75">
      <c r="B25" s="198" t="s">
        <v>39</v>
      </c>
      <c r="C25" s="222">
        <f>SUM(C18:C23)</f>
        <v>0</v>
      </c>
      <c r="D25" s="222">
        <f>SUM(D18:D23)</f>
        <v>0</v>
      </c>
      <c r="E25" s="222">
        <f>SUM(E18:E23)</f>
        <v>0</v>
      </c>
    </row>
    <row r="26" spans="2:5" ht="15.75">
      <c r="B26" s="105" t="s">
        <v>134</v>
      </c>
      <c r="C26" s="158">
        <f>C16-C25</f>
        <v>0</v>
      </c>
      <c r="D26" s="158">
        <f>D16-D25</f>
        <v>0</v>
      </c>
      <c r="E26" s="158">
        <f>E16-E25</f>
        <v>0</v>
      </c>
    </row>
    <row r="27" spans="2:5" ht="15.75">
      <c r="B27" s="122" t="str">
        <f>CONCATENATE("",E1-2,"/",E1-1,"/",E1," Budget Authority Amount:")</f>
        <v>-2/-1/0 Budget Authority Amount:</v>
      </c>
      <c r="C27" s="478">
        <f>inputOth!B77</f>
        <v>0</v>
      </c>
      <c r="D27" s="478">
        <f>inputPrYr!D39</f>
        <v>0</v>
      </c>
      <c r="E27" s="158">
        <f>E25</f>
        <v>0</v>
      </c>
    </row>
    <row r="28" spans="2:5" ht="15.75">
      <c r="B28" s="93"/>
      <c r="C28" s="208">
        <f>IF(C25&gt;C27,"See Tab A","")</f>
      </c>
      <c r="D28" s="208">
        <f>IF(D25&gt;D27,"See Tab C","")</f>
      </c>
      <c r="E28" s="687">
        <f>IF(E26&lt;0,"See Tab E","")</f>
      </c>
    </row>
    <row r="29" spans="2:5" ht="15.75">
      <c r="B29" s="93"/>
      <c r="C29" s="208">
        <f>IF(C26&lt;0,"See Tab B","")</f>
      </c>
      <c r="D29" s="208">
        <f>IF(D26&lt;0,"See Tab D","")</f>
      </c>
      <c r="E29" s="37"/>
    </row>
    <row r="30" spans="2:5" ht="15.75">
      <c r="B30" s="16"/>
      <c r="C30" s="37"/>
      <c r="D30" s="37"/>
      <c r="E30" s="37"/>
    </row>
    <row r="31" spans="2:5" ht="15.75">
      <c r="B31" s="19" t="s">
        <v>23</v>
      </c>
      <c r="C31" s="227"/>
      <c r="D31" s="227"/>
      <c r="E31" s="227"/>
    </row>
    <row r="32" spans="2:5" ht="15.75">
      <c r="B32" s="16"/>
      <c r="C32" s="211" t="str">
        <f aca="true" t="shared" si="0" ref="C32:E33">C4</f>
        <v>Prior Year </v>
      </c>
      <c r="D32" s="99" t="str">
        <f t="shared" si="0"/>
        <v>Current Year</v>
      </c>
      <c r="E32" s="99" t="str">
        <f t="shared" si="0"/>
        <v>Proposed Budget</v>
      </c>
    </row>
    <row r="33" spans="2:5" ht="15.75">
      <c r="B33" s="330">
        <f>(inputPrYr!B40)</f>
        <v>0</v>
      </c>
      <c r="C33" s="187" t="str">
        <f t="shared" si="0"/>
        <v>Actual for -2</v>
      </c>
      <c r="D33" s="187" t="str">
        <f t="shared" si="0"/>
        <v>Estimate for -1</v>
      </c>
      <c r="E33" s="187" t="str">
        <f t="shared" si="0"/>
        <v>Year for 0</v>
      </c>
    </row>
    <row r="34" spans="2:5" ht="15.75">
      <c r="B34" s="188" t="s">
        <v>133</v>
      </c>
      <c r="C34" s="36"/>
      <c r="D34" s="158">
        <f>C57</f>
        <v>0</v>
      </c>
      <c r="E34" s="158">
        <f>D57</f>
        <v>0</v>
      </c>
    </row>
    <row r="35" spans="2:5" ht="15.75">
      <c r="B35" s="188" t="s">
        <v>135</v>
      </c>
      <c r="C35" s="51"/>
      <c r="D35" s="51"/>
      <c r="E35" s="51"/>
    </row>
    <row r="36" spans="2:5" ht="15.75">
      <c r="B36" s="204"/>
      <c r="C36" s="36"/>
      <c r="D36" s="36"/>
      <c r="E36" s="36"/>
    </row>
    <row r="37" spans="2:5" ht="15.75">
      <c r="B37" s="204"/>
      <c r="C37" s="36"/>
      <c r="D37" s="36"/>
      <c r="E37" s="36"/>
    </row>
    <row r="38" spans="2:5" ht="15.75">
      <c r="B38" s="204"/>
      <c r="C38" s="36"/>
      <c r="D38" s="36"/>
      <c r="E38" s="36"/>
    </row>
    <row r="39" spans="2:5" ht="15.75">
      <c r="B39" s="204"/>
      <c r="C39" s="36"/>
      <c r="D39" s="36"/>
      <c r="E39" s="36"/>
    </row>
    <row r="40" spans="2:5" ht="15.75">
      <c r="B40" s="196" t="s">
        <v>31</v>
      </c>
      <c r="C40" s="36"/>
      <c r="D40" s="36"/>
      <c r="E40" s="36"/>
    </row>
    <row r="41" spans="2:5" ht="15.75">
      <c r="B41" s="113" t="s">
        <v>236</v>
      </c>
      <c r="C41" s="36"/>
      <c r="D41" s="36"/>
      <c r="E41" s="36"/>
    </row>
    <row r="42" spans="2:5" ht="15.75">
      <c r="B42" s="188" t="s">
        <v>746</v>
      </c>
      <c r="C42" s="332">
        <f>IF(C43*0.1&lt;C41,"Exceed 10% Rule","")</f>
      </c>
      <c r="D42" s="218">
        <f>IF(D43*0.1&lt;D41,"Exceed 10% Rule","")</f>
      </c>
      <c r="E42" s="218">
        <f>IF(E43*0.1&lt;E41,"Exceed 10% Rule","")</f>
      </c>
    </row>
    <row r="43" spans="2:5" ht="15.75">
      <c r="B43" s="198" t="s">
        <v>32</v>
      </c>
      <c r="C43" s="222">
        <f>SUM(C36:C41)</f>
        <v>0</v>
      </c>
      <c r="D43" s="222">
        <f>SUM(D36:D41)</f>
        <v>0</v>
      </c>
      <c r="E43" s="222">
        <f>SUM(E36:E41)</f>
        <v>0</v>
      </c>
    </row>
    <row r="44" spans="2:5" ht="15.75">
      <c r="B44" s="198" t="s">
        <v>33</v>
      </c>
      <c r="C44" s="222">
        <f>C34+C43</f>
        <v>0</v>
      </c>
      <c r="D44" s="222">
        <f>D34+D43</f>
        <v>0</v>
      </c>
      <c r="E44" s="222">
        <f>E34+E43</f>
        <v>0</v>
      </c>
    </row>
    <row r="45" spans="2:5" ht="15.75">
      <c r="B45" s="105" t="s">
        <v>35</v>
      </c>
      <c r="C45" s="158"/>
      <c r="D45" s="158"/>
      <c r="E45" s="158"/>
    </row>
    <row r="46" spans="2:5" ht="15.75">
      <c r="B46" s="204"/>
      <c r="C46" s="36"/>
      <c r="D46" s="36"/>
      <c r="E46" s="36"/>
    </row>
    <row r="47" spans="2:5" ht="15.75">
      <c r="B47" s="204"/>
      <c r="C47" s="36"/>
      <c r="D47" s="36"/>
      <c r="E47" s="36"/>
    </row>
    <row r="48" spans="2:5" ht="15.75">
      <c r="B48" s="204"/>
      <c r="C48" s="36"/>
      <c r="D48" s="36"/>
      <c r="E48" s="36"/>
    </row>
    <row r="49" spans="2:5" ht="15.75">
      <c r="B49" s="204"/>
      <c r="C49" s="36"/>
      <c r="D49" s="36"/>
      <c r="E49" s="36"/>
    </row>
    <row r="50" spans="2:5" ht="15.75">
      <c r="B50" s="204"/>
      <c r="C50" s="36"/>
      <c r="D50" s="36"/>
      <c r="E50" s="36"/>
    </row>
    <row r="51" spans="2:5" ht="15.75">
      <c r="B51" s="204"/>
      <c r="C51" s="36"/>
      <c r="D51" s="36"/>
      <c r="E51" s="36"/>
    </row>
    <row r="52" spans="2:5" ht="15.75">
      <c r="B52" s="204"/>
      <c r="C52" s="36"/>
      <c r="D52" s="36"/>
      <c r="E52" s="36"/>
    </row>
    <row r="53" spans="2:5" ht="15.75">
      <c r="B53" s="205" t="str">
        <f>CONCATENATE("Cash Forward (",E1," column)")</f>
        <v>Cash Forward (0 column)</v>
      </c>
      <c r="C53" s="36"/>
      <c r="D53" s="36"/>
      <c r="E53" s="36"/>
    </row>
    <row r="54" spans="2:5" ht="15.75">
      <c r="B54" s="205" t="s">
        <v>236</v>
      </c>
      <c r="C54" s="36"/>
      <c r="D54" s="36"/>
      <c r="E54" s="36"/>
    </row>
    <row r="55" spans="2:5" ht="15.75">
      <c r="B55" s="205" t="s">
        <v>747</v>
      </c>
      <c r="C55" s="332">
        <f>IF(C56*0.1&lt;C54,"Exceed 10% Rule","")</f>
      </c>
      <c r="D55" s="218">
        <f>IF(D56*0.1&lt;D54,"Exceed 10% Rule","")</f>
      </c>
      <c r="E55" s="218">
        <f>IF(E56*0.1&lt;E54,"Exceed 10% Rule","")</f>
      </c>
    </row>
    <row r="56" spans="2:5" ht="15.75">
      <c r="B56" s="198" t="s">
        <v>39</v>
      </c>
      <c r="C56" s="222">
        <f>SUM(C46:C54)</f>
        <v>0</v>
      </c>
      <c r="D56" s="222">
        <f>SUM(D46:D54)</f>
        <v>0</v>
      </c>
      <c r="E56" s="222">
        <f>SUM(E46:E54)</f>
        <v>0</v>
      </c>
    </row>
    <row r="57" spans="2:5" ht="15.75">
      <c r="B57" s="105" t="s">
        <v>134</v>
      </c>
      <c r="C57" s="158">
        <f>C44-C56</f>
        <v>0</v>
      </c>
      <c r="D57" s="158">
        <f>D44-D56</f>
        <v>0</v>
      </c>
      <c r="E57" s="158">
        <f>E44-E56</f>
        <v>0</v>
      </c>
    </row>
    <row r="58" spans="2:5" ht="15.75">
      <c r="B58" s="122" t="str">
        <f>CONCATENATE("",E1-2,"/",E1-1,"/",E1," Budget Authority Amount:")</f>
        <v>-2/-1/0 Budget Authority Amount:</v>
      </c>
      <c r="C58" s="478">
        <f>inputOth!B78</f>
        <v>0</v>
      </c>
      <c r="D58" s="478">
        <f>inputPrYr!D40</f>
        <v>0</v>
      </c>
      <c r="E58" s="158">
        <f>E56</f>
        <v>0</v>
      </c>
    </row>
    <row r="59" spans="2:5" ht="15.75">
      <c r="B59" s="93"/>
      <c r="C59" s="208">
        <f>IF(C56&gt;C58,"See Tab A","")</f>
      </c>
      <c r="D59" s="208">
        <f>IF(D56&gt;D58,"See Tab C","")</f>
      </c>
      <c r="E59" s="687">
        <f>IF(E57&lt;0,"See Tab E","")</f>
      </c>
    </row>
    <row r="60" spans="2:5" ht="15.75">
      <c r="B60" s="962" t="s">
        <v>999</v>
      </c>
      <c r="C60" s="849"/>
      <c r="D60" s="849"/>
      <c r="E60" s="850"/>
    </row>
    <row r="61" spans="2:5" ht="15.75">
      <c r="B61" s="851"/>
      <c r="C61" s="852">
        <f>IF(C57&lt;0,"See Tab B","")</f>
      </c>
      <c r="D61" s="852">
        <f>IF(D57&lt;0,"See Tab D","")</f>
      </c>
      <c r="E61" s="613"/>
    </row>
    <row r="62" spans="2:5" ht="15.75">
      <c r="B62" s="853"/>
      <c r="C62" s="854"/>
      <c r="D62" s="854"/>
      <c r="E62" s="55"/>
    </row>
    <row r="63" spans="2:5" ht="15.75">
      <c r="B63" s="16"/>
      <c r="C63" s="16"/>
      <c r="D63" s="16"/>
      <c r="E63" s="16"/>
    </row>
    <row r="64" spans="2:5" ht="15.75">
      <c r="B64" s="93" t="s">
        <v>42</v>
      </c>
      <c r="C64" s="711"/>
      <c r="D64" s="16"/>
      <c r="E64" s="16"/>
    </row>
  </sheetData>
  <sheetProtection/>
  <conditionalFormatting sqref="C41">
    <cfRule type="cellIs" priority="5" dxfId="260" operator="greaterThan" stopIfTrue="1">
      <formula>$C$43*0.1</formula>
    </cfRule>
  </conditionalFormatting>
  <conditionalFormatting sqref="D41">
    <cfRule type="cellIs" priority="6" dxfId="260" operator="greaterThan" stopIfTrue="1">
      <formula>$D$43*0.1</formula>
    </cfRule>
  </conditionalFormatting>
  <conditionalFormatting sqref="E41">
    <cfRule type="cellIs" priority="7" dxfId="260" operator="greaterThan" stopIfTrue="1">
      <formula>$E$43*0.1</formula>
    </cfRule>
  </conditionalFormatting>
  <conditionalFormatting sqref="C54">
    <cfRule type="cellIs" priority="8" dxfId="260" operator="greaterThan" stopIfTrue="1">
      <formula>$C$56*0.1</formula>
    </cfRule>
  </conditionalFormatting>
  <conditionalFormatting sqref="D54">
    <cfRule type="cellIs" priority="9" dxfId="260" operator="greaterThan" stopIfTrue="1">
      <formula>$D$56*0.1</formula>
    </cfRule>
  </conditionalFormatting>
  <conditionalFormatting sqref="E54">
    <cfRule type="cellIs" priority="10" dxfId="260" operator="greaterThan" stopIfTrue="1">
      <formula>$E$56*0.1</formula>
    </cfRule>
  </conditionalFormatting>
  <conditionalFormatting sqref="C13">
    <cfRule type="cellIs" priority="11" dxfId="260" operator="greaterThan" stopIfTrue="1">
      <formula>$C$15*0.1</formula>
    </cfRule>
  </conditionalFormatting>
  <conditionalFormatting sqref="D13">
    <cfRule type="cellIs" priority="12" dxfId="260" operator="greaterThan" stopIfTrue="1">
      <formula>$D$15*0.1</formula>
    </cfRule>
  </conditionalFormatting>
  <conditionalFormatting sqref="E13">
    <cfRule type="cellIs" priority="13" dxfId="260" operator="greaterThan" stopIfTrue="1">
      <formula>$E$15*0.1</formula>
    </cfRule>
  </conditionalFormatting>
  <conditionalFormatting sqref="C23">
    <cfRule type="cellIs" priority="14" dxfId="260" operator="greaterThan" stopIfTrue="1">
      <formula>$C$25*0.1</formula>
    </cfRule>
  </conditionalFormatting>
  <conditionalFormatting sqref="D23">
    <cfRule type="cellIs" priority="15" dxfId="260" operator="greaterThan" stopIfTrue="1">
      <formula>$D$25*0.1</formula>
    </cfRule>
  </conditionalFormatting>
  <conditionalFormatting sqref="E23">
    <cfRule type="cellIs" priority="16" dxfId="260" operator="greaterThan" stopIfTrue="1">
      <formula>$E$25*0.1</formula>
    </cfRule>
  </conditionalFormatting>
  <conditionalFormatting sqref="E57 C57 E26 C26">
    <cfRule type="cellIs" priority="17" dxfId="0" operator="lessThan" stopIfTrue="1">
      <formula>0</formula>
    </cfRule>
  </conditionalFormatting>
  <conditionalFormatting sqref="D56">
    <cfRule type="cellIs" priority="18" dxfId="0" operator="greaterThan" stopIfTrue="1">
      <formula>$D$58</formula>
    </cfRule>
  </conditionalFormatting>
  <conditionalFormatting sqref="C56">
    <cfRule type="cellIs" priority="19" dxfId="0" operator="greaterThan" stopIfTrue="1">
      <formula>$C$58</formula>
    </cfRule>
  </conditionalFormatting>
  <conditionalFormatting sqref="D25">
    <cfRule type="cellIs" priority="20" dxfId="0" operator="greaterThan" stopIfTrue="1">
      <formula>$D$27</formula>
    </cfRule>
  </conditionalFormatting>
  <conditionalFormatting sqref="C25">
    <cfRule type="cellIs" priority="21" dxfId="0" operator="greaterThan" stopIfTrue="1">
      <formula>$C$27</formula>
    </cfRule>
  </conditionalFormatting>
  <conditionalFormatting sqref="D57">
    <cfRule type="cellIs" priority="4" dxfId="1" operator="lessThan" stopIfTrue="1">
      <formula>0</formula>
    </cfRule>
  </conditionalFormatting>
  <conditionalFormatting sqref="D26">
    <cfRule type="cellIs" priority="3" dxfId="1" operator="lessThan" stopIfTrue="1">
      <formula>0</formula>
    </cfRule>
  </conditionalFormatting>
  <conditionalFormatting sqref="E27">
    <cfRule type="cellIs" priority="2" dxfId="0" operator="lessThan" stopIfTrue="1">
      <formula>0</formula>
    </cfRule>
  </conditionalFormatting>
  <conditionalFormatting sqref="E58">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1">
      <selection activeCell="B78" sqref="B78"/>
    </sheetView>
  </sheetViews>
  <sheetFormatPr defaultColWidth="8.796875" defaultRowHeight="15"/>
  <cols>
    <col min="1" max="1" width="2.3984375" style="17" customWidth="1"/>
    <col min="2" max="2" width="31.09765625" style="17" customWidth="1"/>
    <col min="3" max="4" width="15.796875" style="17" customWidth="1"/>
    <col min="5" max="5" width="16.19921875" style="17" customWidth="1"/>
    <col min="6" max="16384" width="8.8984375" style="17" customWidth="1"/>
  </cols>
  <sheetData>
    <row r="1" spans="2:5" ht="15.75">
      <c r="B1" s="124">
        <f>(inputPrYr!D3)</f>
        <v>0</v>
      </c>
      <c r="C1" s="16"/>
      <c r="D1" s="16"/>
      <c r="E1" s="177">
        <f>inputPrYr!C6</f>
        <v>0</v>
      </c>
    </row>
    <row r="2" spans="2:5" ht="15.75">
      <c r="B2" s="16"/>
      <c r="C2" s="16"/>
      <c r="D2" s="16"/>
      <c r="E2" s="120"/>
    </row>
    <row r="3" spans="2:5" ht="15.75">
      <c r="B3" s="27" t="s">
        <v>92</v>
      </c>
      <c r="C3" s="221"/>
      <c r="D3" s="221"/>
      <c r="E3" s="221"/>
    </row>
    <row r="4" spans="2:5" ht="15.75">
      <c r="B4" s="19" t="s">
        <v>23</v>
      </c>
      <c r="C4" s="592" t="s">
        <v>758</v>
      </c>
      <c r="D4" s="593" t="s">
        <v>759</v>
      </c>
      <c r="E4" s="99" t="s">
        <v>760</v>
      </c>
    </row>
    <row r="5" spans="2:5" ht="15.75">
      <c r="B5" s="331">
        <f>(inputPrYr!B41)</f>
        <v>0</v>
      </c>
      <c r="C5" s="314" t="str">
        <f>CONCATENATE("Actual for ",E1-2,"")</f>
        <v>Actual for -2</v>
      </c>
      <c r="D5" s="314" t="str">
        <f>CONCATENATE("Estimate for ",E1-1,"")</f>
        <v>Estimate for -1</v>
      </c>
      <c r="E5" s="187" t="str">
        <f>CONCATENATE("Year for ",E1,"")</f>
        <v>Year for 0</v>
      </c>
    </row>
    <row r="6" spans="2:5" ht="15.75">
      <c r="B6" s="188" t="s">
        <v>133</v>
      </c>
      <c r="C6" s="36"/>
      <c r="D6" s="158">
        <f>C26</f>
        <v>0</v>
      </c>
      <c r="E6" s="158">
        <f>D26</f>
        <v>0</v>
      </c>
    </row>
    <row r="7" spans="2:5" ht="15.75">
      <c r="B7" s="191" t="s">
        <v>135</v>
      </c>
      <c r="C7" s="51"/>
      <c r="D7" s="51"/>
      <c r="E7" s="51"/>
    </row>
    <row r="8" spans="2:5" ht="15.75">
      <c r="B8" s="204"/>
      <c r="C8" s="36"/>
      <c r="D8" s="36"/>
      <c r="E8" s="36"/>
    </row>
    <row r="9" spans="2:5" ht="15.75">
      <c r="B9" s="204"/>
      <c r="C9" s="36"/>
      <c r="D9" s="36"/>
      <c r="E9" s="36"/>
    </row>
    <row r="10" spans="2:5" ht="15.75">
      <c r="B10" s="204"/>
      <c r="C10" s="36"/>
      <c r="D10" s="36"/>
      <c r="E10" s="36"/>
    </row>
    <row r="11" spans="2:5" ht="15.75">
      <c r="B11" s="204"/>
      <c r="C11" s="36"/>
      <c r="D11" s="36"/>
      <c r="E11" s="36"/>
    </row>
    <row r="12" spans="2:5" ht="15.75">
      <c r="B12" s="196" t="s">
        <v>31</v>
      </c>
      <c r="C12" s="36"/>
      <c r="D12" s="36"/>
      <c r="E12" s="36"/>
    </row>
    <row r="13" spans="2:5" ht="15.75">
      <c r="B13" s="113" t="s">
        <v>236</v>
      </c>
      <c r="C13" s="36"/>
      <c r="D13" s="190"/>
      <c r="E13" s="190"/>
    </row>
    <row r="14" spans="2:5" ht="15.75">
      <c r="B14" s="188" t="s">
        <v>746</v>
      </c>
      <c r="C14" s="332">
        <f>IF(C15*0.1&lt;C13,"Exceed 10% Rule","")</f>
      </c>
      <c r="D14" s="218">
        <f>IF(D15*0.1&lt;D13,"Exceed 10% Rule","")</f>
      </c>
      <c r="E14" s="218">
        <f>IF(E15*0.1&lt;E13,"Exceed 10% Rule","")</f>
      </c>
    </row>
    <row r="15" spans="2:5" ht="15.75">
      <c r="B15" s="198" t="s">
        <v>32</v>
      </c>
      <c r="C15" s="222">
        <f>SUM(C8:C13)</f>
        <v>0</v>
      </c>
      <c r="D15" s="222">
        <f>SUM(D8:D13)</f>
        <v>0</v>
      </c>
      <c r="E15" s="222">
        <f>SUM(E8:E13)</f>
        <v>0</v>
      </c>
    </row>
    <row r="16" spans="2:5" ht="15.75">
      <c r="B16" s="198" t="s">
        <v>33</v>
      </c>
      <c r="C16" s="222">
        <f>C6+C15</f>
        <v>0</v>
      </c>
      <c r="D16" s="222">
        <f>D6+D15</f>
        <v>0</v>
      </c>
      <c r="E16" s="222">
        <f>E6+E15</f>
        <v>0</v>
      </c>
    </row>
    <row r="17" spans="2:5" ht="15.75">
      <c r="B17" s="105" t="s">
        <v>35</v>
      </c>
      <c r="C17" s="158"/>
      <c r="D17" s="158"/>
      <c r="E17" s="158"/>
    </row>
    <row r="18" spans="2:5" ht="15.75">
      <c r="B18" s="204"/>
      <c r="C18" s="36"/>
      <c r="D18" s="36"/>
      <c r="E18" s="36"/>
    </row>
    <row r="19" spans="2:5" ht="15.75">
      <c r="B19" s="204"/>
      <c r="C19" s="36"/>
      <c r="D19" s="36"/>
      <c r="E19" s="36"/>
    </row>
    <row r="20" spans="2:5" ht="15.75">
      <c r="B20" s="204"/>
      <c r="C20" s="36"/>
      <c r="D20" s="36"/>
      <c r="E20" s="36"/>
    </row>
    <row r="21" spans="2:5" ht="15.75">
      <c r="B21" s="204"/>
      <c r="C21" s="36"/>
      <c r="D21" s="36"/>
      <c r="E21" s="36"/>
    </row>
    <row r="22" spans="2:5" ht="15.75">
      <c r="B22" s="205" t="str">
        <f>CONCATENATE("Cash Forward (",E1," column)")</f>
        <v>Cash Forward (0 column)</v>
      </c>
      <c r="C22" s="36"/>
      <c r="D22" s="36"/>
      <c r="E22" s="36"/>
    </row>
    <row r="23" spans="2:5" ht="15.75">
      <c r="B23" s="205" t="s">
        <v>236</v>
      </c>
      <c r="C23" s="36"/>
      <c r="D23" s="190"/>
      <c r="E23" s="190"/>
    </row>
    <row r="24" spans="2:5" ht="15.75">
      <c r="B24" s="205" t="s">
        <v>747</v>
      </c>
      <c r="C24" s="332">
        <f>IF(C25*0.1&lt;C23,"Exceed 10% Rule","")</f>
      </c>
      <c r="D24" s="218">
        <f>IF(D25*0.1&lt;D23,"Exceed 10% Rule","")</f>
      </c>
      <c r="E24" s="218">
        <f>IF(E25*0.1&lt;E23,"Exceed 10% Rule","")</f>
      </c>
    </row>
    <row r="25" spans="2:5" ht="15.75">
      <c r="B25" s="198" t="s">
        <v>39</v>
      </c>
      <c r="C25" s="222">
        <f>SUM(C18:C23)</f>
        <v>0</v>
      </c>
      <c r="D25" s="222">
        <f>SUM(D18:D23)</f>
        <v>0</v>
      </c>
      <c r="E25" s="222">
        <f>SUM(E18:E23)</f>
        <v>0</v>
      </c>
    </row>
    <row r="26" spans="2:5" ht="15.75">
      <c r="B26" s="105" t="s">
        <v>134</v>
      </c>
      <c r="C26" s="158">
        <f>C16-C25</f>
        <v>0</v>
      </c>
      <c r="D26" s="158">
        <f>D16-D25</f>
        <v>0</v>
      </c>
      <c r="E26" s="158">
        <f>E16-E25</f>
        <v>0</v>
      </c>
    </row>
    <row r="27" spans="2:5" ht="15.75">
      <c r="B27" s="122" t="str">
        <f>CONCATENATE("",E1-2,"/",E1-1,"/",E1," Budget Authority Amount:")</f>
        <v>-2/-1/0 Budget Authority Amount:</v>
      </c>
      <c r="C27" s="478">
        <f>inputOth!B79</f>
        <v>0</v>
      </c>
      <c r="D27" s="478">
        <f>inputPrYr!D41</f>
        <v>0</v>
      </c>
      <c r="E27" s="158">
        <f>E25</f>
        <v>0</v>
      </c>
    </row>
    <row r="28" spans="2:5" ht="15.75">
      <c r="B28" s="93"/>
      <c r="C28" s="208">
        <f>IF(C25&gt;C27,"See Tab A","")</f>
      </c>
      <c r="D28" s="208">
        <f>IF(D25&gt;D27,"See Tab C","")</f>
      </c>
      <c r="E28" s="688">
        <f>IF(E26&lt;0,"See Tab E","")</f>
      </c>
    </row>
    <row r="29" spans="2:5" ht="15.75">
      <c r="B29" s="93"/>
      <c r="C29" s="208">
        <f>IF(C26&lt;0,"See Tab B","")</f>
      </c>
      <c r="D29" s="208">
        <f>IF(D26&lt;0,"See Tab D","")</f>
      </c>
      <c r="E29" s="37"/>
    </row>
    <row r="30" spans="2:5" ht="15.75">
      <c r="B30" s="16"/>
      <c r="C30" s="37"/>
      <c r="D30" s="37"/>
      <c r="E30" s="37"/>
    </row>
    <row r="31" spans="2:5" ht="15.75">
      <c r="B31" s="19" t="s">
        <v>23</v>
      </c>
      <c r="C31" s="227"/>
      <c r="D31" s="227"/>
      <c r="E31" s="227"/>
    </row>
    <row r="32" spans="2:5" ht="15.75">
      <c r="B32" s="16"/>
      <c r="C32" s="211" t="str">
        <f aca="true" t="shared" si="0" ref="C32:E33">C4</f>
        <v>Prior Year </v>
      </c>
      <c r="D32" s="99" t="str">
        <f t="shared" si="0"/>
        <v>Current Year</v>
      </c>
      <c r="E32" s="99" t="str">
        <f t="shared" si="0"/>
        <v>Proposed Budget</v>
      </c>
    </row>
    <row r="33" spans="2:5" ht="15.75">
      <c r="B33" s="330">
        <f>(inputPrYr!B42)</f>
        <v>0</v>
      </c>
      <c r="C33" s="187" t="str">
        <f t="shared" si="0"/>
        <v>Actual for -2</v>
      </c>
      <c r="D33" s="187" t="str">
        <f t="shared" si="0"/>
        <v>Estimate for -1</v>
      </c>
      <c r="E33" s="187" t="str">
        <f t="shared" si="0"/>
        <v>Year for 0</v>
      </c>
    </row>
    <row r="34" spans="2:5" ht="15.75">
      <c r="B34" s="188" t="s">
        <v>133</v>
      </c>
      <c r="C34" s="36"/>
      <c r="D34" s="158">
        <f>C57</f>
        <v>0</v>
      </c>
      <c r="E34" s="158">
        <f>D57</f>
        <v>0</v>
      </c>
    </row>
    <row r="35" spans="2:5" ht="15.75">
      <c r="B35" s="188" t="s">
        <v>135</v>
      </c>
      <c r="C35" s="51"/>
      <c r="D35" s="51"/>
      <c r="E35" s="51"/>
    </row>
    <row r="36" spans="2:5" ht="15.75">
      <c r="B36" s="204"/>
      <c r="C36" s="36"/>
      <c r="D36" s="36"/>
      <c r="E36" s="36"/>
    </row>
    <row r="37" spans="2:5" ht="15.75">
      <c r="B37" s="204"/>
      <c r="C37" s="36"/>
      <c r="D37" s="36"/>
      <c r="E37" s="36"/>
    </row>
    <row r="38" spans="2:5" ht="15.75">
      <c r="B38" s="204"/>
      <c r="C38" s="36"/>
      <c r="D38" s="36"/>
      <c r="E38" s="36"/>
    </row>
    <row r="39" spans="2:5" ht="15.75">
      <c r="B39" s="204"/>
      <c r="C39" s="36"/>
      <c r="D39" s="36"/>
      <c r="E39" s="36"/>
    </row>
    <row r="40" spans="2:5" ht="15.75">
      <c r="B40" s="196" t="s">
        <v>31</v>
      </c>
      <c r="C40" s="36"/>
      <c r="D40" s="36"/>
      <c r="E40" s="36"/>
    </row>
    <row r="41" spans="2:5" ht="15.75">
      <c r="B41" s="113" t="s">
        <v>236</v>
      </c>
      <c r="C41" s="36"/>
      <c r="D41" s="36"/>
      <c r="E41" s="36"/>
    </row>
    <row r="42" spans="2:5" ht="15.75">
      <c r="B42" s="188" t="s">
        <v>746</v>
      </c>
      <c r="C42" s="332">
        <f>IF(C43*0.1&lt;C41,"Exceed 10% Rule","")</f>
      </c>
      <c r="D42" s="218">
        <f>IF(D43*0.1&lt;D41,"Exceed 10% Rule","")</f>
      </c>
      <c r="E42" s="218">
        <f>IF(E43*0.1&lt;E41,"Exceed 10% Rule","")</f>
      </c>
    </row>
    <row r="43" spans="2:5" ht="15.75">
      <c r="B43" s="198" t="s">
        <v>32</v>
      </c>
      <c r="C43" s="222">
        <f>SUM(C36:C41)</f>
        <v>0</v>
      </c>
      <c r="D43" s="222">
        <f>SUM(D36:D41)</f>
        <v>0</v>
      </c>
      <c r="E43" s="222">
        <f>SUM(E36:E41)</f>
        <v>0</v>
      </c>
    </row>
    <row r="44" spans="2:5" ht="15.75">
      <c r="B44" s="198" t="s">
        <v>33</v>
      </c>
      <c r="C44" s="222">
        <f>C34+C43</f>
        <v>0</v>
      </c>
      <c r="D44" s="222">
        <f>D34+D43</f>
        <v>0</v>
      </c>
      <c r="E44" s="222">
        <f>E34+E43</f>
        <v>0</v>
      </c>
    </row>
    <row r="45" spans="2:5" ht="15.75">
      <c r="B45" s="105" t="s">
        <v>35</v>
      </c>
      <c r="C45" s="158"/>
      <c r="D45" s="158"/>
      <c r="E45" s="158"/>
    </row>
    <row r="46" spans="2:5" ht="15.75">
      <c r="B46" s="204"/>
      <c r="C46" s="36"/>
      <c r="D46" s="36"/>
      <c r="E46" s="36"/>
    </row>
    <row r="47" spans="2:5" ht="15.75">
      <c r="B47" s="204"/>
      <c r="C47" s="36"/>
      <c r="D47" s="36"/>
      <c r="E47" s="36"/>
    </row>
    <row r="48" spans="2:5" ht="15.75">
      <c r="B48" s="204"/>
      <c r="C48" s="36"/>
      <c r="D48" s="36"/>
      <c r="E48" s="36"/>
    </row>
    <row r="49" spans="2:5" ht="15.75">
      <c r="B49" s="204"/>
      <c r="C49" s="36"/>
      <c r="D49" s="36"/>
      <c r="E49" s="36"/>
    </row>
    <row r="50" spans="2:5" ht="15.75">
      <c r="B50" s="204"/>
      <c r="C50" s="36"/>
      <c r="D50" s="36"/>
      <c r="E50" s="36"/>
    </row>
    <row r="51" spans="2:5" ht="15.75">
      <c r="B51" s="204"/>
      <c r="C51" s="36"/>
      <c r="D51" s="36"/>
      <c r="E51" s="36"/>
    </row>
    <row r="52" spans="2:5" ht="15.75">
      <c r="B52" s="204"/>
      <c r="C52" s="36"/>
      <c r="D52" s="36"/>
      <c r="E52" s="36"/>
    </row>
    <row r="53" spans="2:5" ht="15.75">
      <c r="B53" s="205" t="str">
        <f>CONCATENATE("Cash Forward (",E1," column)")</f>
        <v>Cash Forward (0 column)</v>
      </c>
      <c r="C53" s="36"/>
      <c r="D53" s="36"/>
      <c r="E53" s="36"/>
    </row>
    <row r="54" spans="2:5" ht="15.75">
      <c r="B54" s="205" t="s">
        <v>236</v>
      </c>
      <c r="C54" s="36"/>
      <c r="D54" s="190"/>
      <c r="E54" s="190"/>
    </row>
    <row r="55" spans="2:5" ht="15.75">
      <c r="B55" s="205" t="s">
        <v>747</v>
      </c>
      <c r="C55" s="332">
        <f>IF(C56*0.1&lt;C54,"Exceed 10% Rule","")</f>
      </c>
      <c r="D55" s="218">
        <f>IF(D56*0.1&lt;D54,"Exceed 10% Rule","")</f>
      </c>
      <c r="E55" s="218">
        <f>IF(E56*0.1&lt;E54,"Exceed 10% Rule","")</f>
      </c>
    </row>
    <row r="56" spans="2:5" ht="15.75">
      <c r="B56" s="198" t="s">
        <v>39</v>
      </c>
      <c r="C56" s="222">
        <f>SUM(C46:C54)</f>
        <v>0</v>
      </c>
      <c r="D56" s="222">
        <f>SUM(D46:D54)</f>
        <v>0</v>
      </c>
      <c r="E56" s="222">
        <f>SUM(E46:E54)</f>
        <v>0</v>
      </c>
    </row>
    <row r="57" spans="2:5" ht="15.75">
      <c r="B57" s="105" t="s">
        <v>134</v>
      </c>
      <c r="C57" s="158">
        <f>C44-C56</f>
        <v>0</v>
      </c>
      <c r="D57" s="158">
        <f>D44-D56</f>
        <v>0</v>
      </c>
      <c r="E57" s="158">
        <f>E44-E56</f>
        <v>0</v>
      </c>
    </row>
    <row r="58" spans="2:5" ht="15.75">
      <c r="B58" s="122" t="str">
        <f>CONCATENATE("",E1-2,"/",E1-1,"/",E1," Budget Authority Amount:")</f>
        <v>-2/-1/0 Budget Authority Amount:</v>
      </c>
      <c r="C58" s="478">
        <f>inputOth!B80</f>
        <v>0</v>
      </c>
      <c r="D58" s="478">
        <f>inputPrYr!D42</f>
        <v>0</v>
      </c>
      <c r="E58" s="376">
        <f>E56</f>
        <v>0</v>
      </c>
    </row>
    <row r="59" spans="2:5" ht="15.75">
      <c r="B59" s="93"/>
      <c r="C59" s="208">
        <f>IF(C56&gt;C58,"See Tab A","")</f>
      </c>
      <c r="D59" s="208">
        <f>IF(D56&gt;D58,"See Tab C","")</f>
      </c>
      <c r="E59" s="688">
        <f>IF(E57&lt;0,"See Tab E","")</f>
      </c>
    </row>
    <row r="60" spans="2:5" ht="15.75">
      <c r="B60" s="962" t="s">
        <v>999</v>
      </c>
      <c r="C60" s="849">
        <f>IF(C57&lt;0,"See Tab B","")</f>
      </c>
      <c r="D60" s="849">
        <f>IF(D57&lt;0,"See Tab D","")</f>
      </c>
      <c r="E60" s="842"/>
    </row>
    <row r="61" spans="2:5" ht="15.75">
      <c r="B61" s="851"/>
      <c r="C61" s="852"/>
      <c r="D61" s="852"/>
      <c r="E61" s="613"/>
    </row>
    <row r="62" spans="2:5" ht="15.75">
      <c r="B62" s="853"/>
      <c r="C62" s="854"/>
      <c r="D62" s="854"/>
      <c r="E62" s="55"/>
    </row>
    <row r="63" spans="2:5" ht="15.75">
      <c r="B63" s="16"/>
      <c r="C63" s="16"/>
      <c r="D63" s="16"/>
      <c r="E63" s="16"/>
    </row>
    <row r="64" spans="2:5" ht="15.75">
      <c r="B64" s="93" t="s">
        <v>42</v>
      </c>
      <c r="C64" s="711"/>
      <c r="D64" s="16"/>
      <c r="E64" s="16"/>
    </row>
  </sheetData>
  <sheetProtection/>
  <conditionalFormatting sqref="C13">
    <cfRule type="cellIs" priority="5" dxfId="260" operator="greaterThan" stopIfTrue="1">
      <formula>$C$15*0.1</formula>
    </cfRule>
  </conditionalFormatting>
  <conditionalFormatting sqref="D13">
    <cfRule type="cellIs" priority="6" dxfId="260" operator="greaterThan" stopIfTrue="1">
      <formula>$D$15*0.1</formula>
    </cfRule>
  </conditionalFormatting>
  <conditionalFormatting sqref="E13">
    <cfRule type="cellIs" priority="7" dxfId="260" operator="greaterThan" stopIfTrue="1">
      <formula>$E$15*0.1</formula>
    </cfRule>
  </conditionalFormatting>
  <conditionalFormatting sqref="C23">
    <cfRule type="cellIs" priority="8" dxfId="260" operator="greaterThan" stopIfTrue="1">
      <formula>$C$25*0.1</formula>
    </cfRule>
  </conditionalFormatting>
  <conditionalFormatting sqref="D23">
    <cfRule type="cellIs" priority="9" dxfId="260" operator="greaterThan" stopIfTrue="1">
      <formula>$D$25*0.1</formula>
    </cfRule>
  </conditionalFormatting>
  <conditionalFormatting sqref="E23">
    <cfRule type="cellIs" priority="10" dxfId="260" operator="greaterThan" stopIfTrue="1">
      <formula>$E$25*0.1</formula>
    </cfRule>
  </conditionalFormatting>
  <conditionalFormatting sqref="C41">
    <cfRule type="cellIs" priority="11" dxfId="260" operator="greaterThan" stopIfTrue="1">
      <formula>$C$43*0.1</formula>
    </cfRule>
  </conditionalFormatting>
  <conditionalFormatting sqref="D41">
    <cfRule type="cellIs" priority="12" dxfId="260" operator="greaterThan" stopIfTrue="1">
      <formula>$D$43*0.1</formula>
    </cfRule>
  </conditionalFormatting>
  <conditionalFormatting sqref="E41">
    <cfRule type="cellIs" priority="13" dxfId="260" operator="greaterThan" stopIfTrue="1">
      <formula>$E$43*0.1</formula>
    </cfRule>
  </conditionalFormatting>
  <conditionalFormatting sqref="C54">
    <cfRule type="cellIs" priority="14" dxfId="260" operator="greaterThan" stopIfTrue="1">
      <formula>$C$56*0.1</formula>
    </cfRule>
  </conditionalFormatting>
  <conditionalFormatting sqref="D54">
    <cfRule type="cellIs" priority="15" dxfId="260" operator="greaterThan" stopIfTrue="1">
      <formula>$D$56*0.1</formula>
    </cfRule>
  </conditionalFormatting>
  <conditionalFormatting sqref="E54">
    <cfRule type="cellIs" priority="16" dxfId="260" operator="greaterThan" stopIfTrue="1">
      <formula>$E$56*0.1</formula>
    </cfRule>
  </conditionalFormatting>
  <conditionalFormatting sqref="E57 C57 E26 C26">
    <cfRule type="cellIs" priority="17" dxfId="0" operator="lessThan" stopIfTrue="1">
      <formula>0</formula>
    </cfRule>
  </conditionalFormatting>
  <conditionalFormatting sqref="D56">
    <cfRule type="cellIs" priority="18" dxfId="0" operator="greaterThan" stopIfTrue="1">
      <formula>$D$58</formula>
    </cfRule>
  </conditionalFormatting>
  <conditionalFormatting sqref="C56">
    <cfRule type="cellIs" priority="19" dxfId="0" operator="greaterThan" stopIfTrue="1">
      <formula>$C$58</formula>
    </cfRule>
  </conditionalFormatting>
  <conditionalFormatting sqref="D25">
    <cfRule type="cellIs" priority="20" dxfId="0" operator="greaterThan" stopIfTrue="1">
      <formula>$D$27</formula>
    </cfRule>
  </conditionalFormatting>
  <conditionalFormatting sqref="C25">
    <cfRule type="cellIs" priority="21" dxfId="0" operator="greaterThan" stopIfTrue="1">
      <formula>$C$27</formula>
    </cfRule>
  </conditionalFormatting>
  <conditionalFormatting sqref="D57">
    <cfRule type="cellIs" priority="4" dxfId="1" operator="lessThan" stopIfTrue="1">
      <formula>0</formula>
    </cfRule>
  </conditionalFormatting>
  <conditionalFormatting sqref="D26">
    <cfRule type="cellIs" priority="3" dxfId="1" operator="lessThan" stopIfTrue="1">
      <formula>0</formula>
    </cfRule>
  </conditionalFormatting>
  <conditionalFormatting sqref="E27">
    <cfRule type="cellIs" priority="2" dxfId="0" operator="lessThan" stopIfTrue="1">
      <formula>0</formula>
    </cfRule>
  </conditionalFormatting>
  <conditionalFormatting sqref="E58">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73" sqref="C73"/>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16384" width="8.8984375" style="17" customWidth="1"/>
  </cols>
  <sheetData>
    <row r="1" spans="2:5" ht="15.75">
      <c r="B1" s="124">
        <f>(inputPrYr!D3)</f>
        <v>0</v>
      </c>
      <c r="C1" s="16"/>
      <c r="D1" s="16"/>
      <c r="E1" s="177">
        <f>inputPrYr!C6</f>
        <v>0</v>
      </c>
    </row>
    <row r="2" spans="2:5" ht="15.75">
      <c r="B2" s="16"/>
      <c r="C2" s="16"/>
      <c r="D2" s="16"/>
      <c r="E2" s="120"/>
    </row>
    <row r="3" spans="2:5" ht="15.75">
      <c r="B3" s="27" t="s">
        <v>92</v>
      </c>
      <c r="C3" s="221"/>
      <c r="D3" s="221"/>
      <c r="E3" s="221"/>
    </row>
    <row r="4" spans="2:5" ht="15.75">
      <c r="B4" s="19" t="s">
        <v>23</v>
      </c>
      <c r="C4" s="592" t="s">
        <v>758</v>
      </c>
      <c r="D4" s="593" t="s">
        <v>759</v>
      </c>
      <c r="E4" s="99" t="s">
        <v>760</v>
      </c>
    </row>
    <row r="5" spans="2:5" ht="15.75">
      <c r="B5" s="331">
        <f>(inputPrYr!B43)</f>
        <v>0</v>
      </c>
      <c r="C5" s="314" t="str">
        <f>CONCATENATE("Actual for ",E1-2,"")</f>
        <v>Actual for -2</v>
      </c>
      <c r="D5" s="314" t="str">
        <f>CONCATENATE("Estimate for ",E1-1,"")</f>
        <v>Estimate for -1</v>
      </c>
      <c r="E5" s="187" t="str">
        <f>CONCATENATE("Year for ",E1,"")</f>
        <v>Year for 0</v>
      </c>
    </row>
    <row r="6" spans="2:5" ht="15.75">
      <c r="B6" s="188" t="s">
        <v>133</v>
      </c>
      <c r="C6" s="36"/>
      <c r="D6" s="158">
        <f>C27</f>
        <v>0</v>
      </c>
      <c r="E6" s="158">
        <f>D27</f>
        <v>0</v>
      </c>
    </row>
    <row r="7" spans="2:5" ht="15.75">
      <c r="B7" s="191" t="s">
        <v>135</v>
      </c>
      <c r="C7" s="51"/>
      <c r="D7" s="51"/>
      <c r="E7" s="51"/>
    </row>
    <row r="8" spans="2:5" ht="15.75">
      <c r="B8" s="204"/>
      <c r="C8" s="36"/>
      <c r="D8" s="36"/>
      <c r="E8" s="36"/>
    </row>
    <row r="9" spans="2:5" ht="15.75">
      <c r="B9" s="204"/>
      <c r="C9" s="36"/>
      <c r="D9" s="36"/>
      <c r="E9" s="36"/>
    </row>
    <row r="10" spans="2:5" ht="15.75">
      <c r="B10" s="204"/>
      <c r="C10" s="36"/>
      <c r="D10" s="36"/>
      <c r="E10" s="36"/>
    </row>
    <row r="11" spans="2:5" ht="15.75">
      <c r="B11" s="204"/>
      <c r="C11" s="36"/>
      <c r="D11" s="36"/>
      <c r="E11" s="36"/>
    </row>
    <row r="12" spans="2:5" ht="15.75">
      <c r="B12" s="196" t="s">
        <v>31</v>
      </c>
      <c r="C12" s="36"/>
      <c r="D12" s="36"/>
      <c r="E12" s="36"/>
    </row>
    <row r="13" spans="2:5" ht="15.75">
      <c r="B13" s="113" t="s">
        <v>236</v>
      </c>
      <c r="C13" s="36"/>
      <c r="D13" s="190"/>
      <c r="E13" s="190"/>
    </row>
    <row r="14" spans="2:5" ht="15.75">
      <c r="B14" s="188" t="s">
        <v>746</v>
      </c>
      <c r="C14" s="332">
        <f>IF(C15*0.1&lt;C13,"Exceed 10% Rule","")</f>
      </c>
      <c r="D14" s="218">
        <f>IF(D15*0.1&lt;D13,"Exceed 10% Rule","")</f>
      </c>
      <c r="E14" s="218">
        <f>IF(E15*0.1&lt;E13,"Exceed 10% Rule","")</f>
      </c>
    </row>
    <row r="15" spans="2:5" ht="15.75">
      <c r="B15" s="198" t="s">
        <v>32</v>
      </c>
      <c r="C15" s="222">
        <f>SUM(C8:C13)</f>
        <v>0</v>
      </c>
      <c r="D15" s="222">
        <f>SUM(D8:D13)</f>
        <v>0</v>
      </c>
      <c r="E15" s="222">
        <f>SUM(E8:E13)</f>
        <v>0</v>
      </c>
    </row>
    <row r="16" spans="2:5" ht="15.75">
      <c r="B16" s="198" t="s">
        <v>33</v>
      </c>
      <c r="C16" s="222">
        <f>C6+C15</f>
        <v>0</v>
      </c>
      <c r="D16" s="222">
        <f>D6+D15</f>
        <v>0</v>
      </c>
      <c r="E16" s="222">
        <f>E6+E15</f>
        <v>0</v>
      </c>
    </row>
    <row r="17" spans="2:5" ht="15.75">
      <c r="B17" s="105" t="s">
        <v>35</v>
      </c>
      <c r="C17" s="158"/>
      <c r="D17" s="158"/>
      <c r="E17" s="158"/>
    </row>
    <row r="18" spans="2:5" ht="15.75">
      <c r="B18" s="204"/>
      <c r="C18" s="36"/>
      <c r="D18" s="36"/>
      <c r="E18" s="36"/>
    </row>
    <row r="19" spans="2:5" ht="15.75">
      <c r="B19" s="204"/>
      <c r="C19" s="36"/>
      <c r="D19" s="36"/>
      <c r="E19" s="36"/>
    </row>
    <row r="20" spans="2:5" ht="15.75">
      <c r="B20" s="204"/>
      <c r="C20" s="36"/>
      <c r="D20" s="36"/>
      <c r="E20" s="36"/>
    </row>
    <row r="21" spans="2:5" ht="15.75">
      <c r="B21" s="204"/>
      <c r="C21" s="36"/>
      <c r="D21" s="36"/>
      <c r="E21" s="36"/>
    </row>
    <row r="22" spans="2:5" ht="15.75">
      <c r="B22" s="204"/>
      <c r="C22" s="36"/>
      <c r="D22" s="36"/>
      <c r="E22" s="36"/>
    </row>
    <row r="23" spans="2:5" ht="15.75">
      <c r="B23" s="205" t="str">
        <f>CONCATENATE("Cash Forward (",E1," column)")</f>
        <v>Cash Forward (0 column)</v>
      </c>
      <c r="C23" s="36"/>
      <c r="D23" s="36"/>
      <c r="E23" s="36"/>
    </row>
    <row r="24" spans="2:5" ht="15.75">
      <c r="B24" s="205" t="s">
        <v>236</v>
      </c>
      <c r="C24" s="36"/>
      <c r="D24" s="190"/>
      <c r="E24" s="190"/>
    </row>
    <row r="25" spans="2:5" ht="15.75">
      <c r="B25" s="205" t="s">
        <v>747</v>
      </c>
      <c r="C25" s="332">
        <f>IF(C26*0.1&lt;C24,"Exceed 10% Rule","")</f>
      </c>
      <c r="D25" s="218">
        <f>IF(D26*0.1&lt;D24,"Exceed 10% Rule","")</f>
      </c>
      <c r="E25" s="218">
        <f>IF(E26*0.1&lt;E24,"Exceed 10% Rule","")</f>
      </c>
    </row>
    <row r="26" spans="2:5" ht="15.75">
      <c r="B26" s="198" t="s">
        <v>39</v>
      </c>
      <c r="C26" s="222">
        <f>SUM(C18:C24)</f>
        <v>0</v>
      </c>
      <c r="D26" s="222">
        <f>SUM(D18:D24)</f>
        <v>0</v>
      </c>
      <c r="E26" s="222">
        <f>SUM(E18:E24)</f>
        <v>0</v>
      </c>
    </row>
    <row r="27" spans="2:5" ht="15.75">
      <c r="B27" s="105" t="s">
        <v>134</v>
      </c>
      <c r="C27" s="158">
        <f>C16-C26</f>
        <v>0</v>
      </c>
      <c r="D27" s="158">
        <f>D16-D26</f>
        <v>0</v>
      </c>
      <c r="E27" s="158">
        <f>E16-E26</f>
        <v>0</v>
      </c>
    </row>
    <row r="28" spans="2:5" ht="15.75">
      <c r="B28" s="122" t="str">
        <f>CONCATENATE("",E1-2,"/",E1-1,"/",E1," Budget Authority Amount:")</f>
        <v>-2/-1/0 Budget Authority Amount:</v>
      </c>
      <c r="C28" s="478">
        <f>inputOth!B81</f>
        <v>0</v>
      </c>
      <c r="D28" s="478">
        <f>inputPrYr!D43</f>
        <v>0</v>
      </c>
      <c r="E28" s="376">
        <f>E26</f>
        <v>0</v>
      </c>
    </row>
    <row r="29" spans="2:5" ht="15.75">
      <c r="B29" s="93"/>
      <c r="C29" s="208">
        <f>IF(C26&gt;C28,"See Tab A","")</f>
      </c>
      <c r="D29" s="208">
        <f>IF(D26&gt;D28,"See Tab C","")</f>
      </c>
      <c r="E29" s="688">
        <f>IF(E27&lt;0,"See Tab E","")</f>
      </c>
    </row>
    <row r="30" spans="2:5" ht="15.75">
      <c r="B30" s="93"/>
      <c r="C30" s="208">
        <f>IF(C27&lt;0,"See Tab B","")</f>
      </c>
      <c r="D30" s="208">
        <f>IF(D27&lt;0,"See Tab D","")</f>
      </c>
      <c r="E30" s="37"/>
    </row>
    <row r="31" spans="2:5" ht="15.75">
      <c r="B31" s="16"/>
      <c r="C31" s="37"/>
      <c r="D31" s="37"/>
      <c r="E31" s="37"/>
    </row>
    <row r="32" spans="2:5" ht="15.75">
      <c r="B32" s="19" t="s">
        <v>23</v>
      </c>
      <c r="C32" s="227"/>
      <c r="D32" s="227"/>
      <c r="E32" s="227"/>
    </row>
    <row r="33" spans="2:5" ht="15.75">
      <c r="B33" s="16"/>
      <c r="C33" s="211" t="str">
        <f aca="true" t="shared" si="0" ref="C33:E34">C4</f>
        <v>Prior Year </v>
      </c>
      <c r="D33" s="99" t="str">
        <f t="shared" si="0"/>
        <v>Current Year</v>
      </c>
      <c r="E33" s="99" t="str">
        <f t="shared" si="0"/>
        <v>Proposed Budget</v>
      </c>
    </row>
    <row r="34" spans="2:5" ht="15.75">
      <c r="B34" s="330">
        <f>(inputPrYr!B44)</f>
        <v>0</v>
      </c>
      <c r="C34" s="187" t="str">
        <f t="shared" si="0"/>
        <v>Actual for -2</v>
      </c>
      <c r="D34" s="187" t="str">
        <f t="shared" si="0"/>
        <v>Estimate for -1</v>
      </c>
      <c r="E34" s="187" t="str">
        <f t="shared" si="0"/>
        <v>Year for 0</v>
      </c>
    </row>
    <row r="35" spans="2:5" ht="15.75">
      <c r="B35" s="188" t="s">
        <v>133</v>
      </c>
      <c r="C35" s="36"/>
      <c r="D35" s="158">
        <f>C58</f>
        <v>0</v>
      </c>
      <c r="E35" s="158">
        <f>D58</f>
        <v>0</v>
      </c>
    </row>
    <row r="36" spans="2:5" ht="15.75">
      <c r="B36" s="188" t="s">
        <v>135</v>
      </c>
      <c r="C36" s="51"/>
      <c r="D36" s="51"/>
      <c r="E36" s="51"/>
    </row>
    <row r="37" spans="2:5" ht="15.75">
      <c r="B37" s="204"/>
      <c r="C37" s="36"/>
      <c r="D37" s="36"/>
      <c r="E37" s="36"/>
    </row>
    <row r="38" spans="2:5" ht="15.75">
      <c r="B38" s="204"/>
      <c r="C38" s="36"/>
      <c r="D38" s="36"/>
      <c r="E38" s="36"/>
    </row>
    <row r="39" spans="2:5" ht="15.75">
      <c r="B39" s="204"/>
      <c r="C39" s="36"/>
      <c r="D39" s="36"/>
      <c r="E39" s="36"/>
    </row>
    <row r="40" spans="2:5" ht="15.75">
      <c r="B40" s="204"/>
      <c r="C40" s="36"/>
      <c r="D40" s="36"/>
      <c r="E40" s="36"/>
    </row>
    <row r="41" spans="2:5" ht="15.75">
      <c r="B41" s="196" t="s">
        <v>31</v>
      </c>
      <c r="C41" s="36"/>
      <c r="D41" s="36"/>
      <c r="E41" s="36"/>
    </row>
    <row r="42" spans="2:5" ht="15.75">
      <c r="B42" s="113" t="s">
        <v>236</v>
      </c>
      <c r="C42" s="36"/>
      <c r="D42" s="190"/>
      <c r="E42" s="190"/>
    </row>
    <row r="43" spans="2:5" ht="15.75">
      <c r="B43" s="188" t="s">
        <v>746</v>
      </c>
      <c r="C43" s="332">
        <f>IF(C44*0.1&lt;C42,"Exceed 10% Rule","")</f>
      </c>
      <c r="D43" s="218">
        <f>IF(D44*0.1&lt;D42,"Exceed 10% Rule","")</f>
      </c>
      <c r="E43" s="218">
        <f>IF(E44*0.1&lt;E42,"Exceed 10% Rule","")</f>
      </c>
    </row>
    <row r="44" spans="2:5" ht="15.75">
      <c r="B44" s="198" t="s">
        <v>32</v>
      </c>
      <c r="C44" s="222">
        <f>SUM(C37:C42)</f>
        <v>0</v>
      </c>
      <c r="D44" s="222">
        <f>SUM(D37:D42)</f>
        <v>0</v>
      </c>
      <c r="E44" s="222">
        <f>SUM(E37:E42)</f>
        <v>0</v>
      </c>
    </row>
    <row r="45" spans="2:5" ht="15.75">
      <c r="B45" s="198" t="s">
        <v>33</v>
      </c>
      <c r="C45" s="222">
        <f>C35+C44</f>
        <v>0</v>
      </c>
      <c r="D45" s="222">
        <f>D35+D44</f>
        <v>0</v>
      </c>
      <c r="E45" s="222">
        <f>E35+E44</f>
        <v>0</v>
      </c>
    </row>
    <row r="46" spans="2:5" ht="15.75">
      <c r="B46" s="105" t="s">
        <v>35</v>
      </c>
      <c r="C46" s="158"/>
      <c r="D46" s="158"/>
      <c r="E46" s="158"/>
    </row>
    <row r="47" spans="2:5" ht="15.75">
      <c r="B47" s="204"/>
      <c r="C47" s="36"/>
      <c r="D47" s="36"/>
      <c r="E47" s="36"/>
    </row>
    <row r="48" spans="2:5" ht="15.75">
      <c r="B48" s="204"/>
      <c r="C48" s="36"/>
      <c r="D48" s="36"/>
      <c r="E48" s="36"/>
    </row>
    <row r="49" spans="2:5" ht="15.75">
      <c r="B49" s="204"/>
      <c r="C49" s="36"/>
      <c r="D49" s="36"/>
      <c r="E49" s="36"/>
    </row>
    <row r="50" spans="2:5" ht="15.75">
      <c r="B50" s="204"/>
      <c r="C50" s="36"/>
      <c r="D50" s="36"/>
      <c r="E50" s="36"/>
    </row>
    <row r="51" spans="2:5" ht="15.75">
      <c r="B51" s="204"/>
      <c r="C51" s="36"/>
      <c r="D51" s="36"/>
      <c r="E51" s="36"/>
    </row>
    <row r="52" spans="2:5" ht="15.75">
      <c r="B52" s="204"/>
      <c r="C52" s="36"/>
      <c r="D52" s="36"/>
      <c r="E52" s="36"/>
    </row>
    <row r="53" spans="2:5" ht="15.75">
      <c r="B53" s="204"/>
      <c r="C53" s="36"/>
      <c r="D53" s="36"/>
      <c r="E53" s="36"/>
    </row>
    <row r="54" spans="2:5" ht="15.75">
      <c r="B54" s="205" t="str">
        <f>CONCATENATE("Cash Forward (",E1," column)")</f>
        <v>Cash Forward (0 column)</v>
      </c>
      <c r="C54" s="36"/>
      <c r="D54" s="36"/>
      <c r="E54" s="36"/>
    </row>
    <row r="55" spans="2:5" ht="15.75">
      <c r="B55" s="205" t="s">
        <v>236</v>
      </c>
      <c r="C55" s="36"/>
      <c r="D55" s="190"/>
      <c r="E55" s="190"/>
    </row>
    <row r="56" spans="2:5" ht="15.75">
      <c r="B56" s="205" t="s">
        <v>747</v>
      </c>
      <c r="C56" s="332">
        <f>IF(C57*0.1&lt;C55,"Exceed 10% Rule","")</f>
      </c>
      <c r="D56" s="218">
        <f>IF(D57*0.1&lt;D55,"Exceed 10% Rule","")</f>
      </c>
      <c r="E56" s="218">
        <f>IF(E57*0.1&lt;E55,"Exceed 10% Rule","")</f>
      </c>
    </row>
    <row r="57" spans="2:5" ht="15.75">
      <c r="B57" s="198" t="s">
        <v>39</v>
      </c>
      <c r="C57" s="222">
        <f>SUM(C47:C55)</f>
        <v>0</v>
      </c>
      <c r="D57" s="222">
        <f>SUM(D47:D55)</f>
        <v>0</v>
      </c>
      <c r="E57" s="222">
        <f>SUM(E47:E55)</f>
        <v>0</v>
      </c>
    </row>
    <row r="58" spans="2:5" ht="15.75">
      <c r="B58" s="105" t="s">
        <v>134</v>
      </c>
      <c r="C58" s="158">
        <f>C45-C57</f>
        <v>0</v>
      </c>
      <c r="D58" s="158">
        <f>D45-D57</f>
        <v>0</v>
      </c>
      <c r="E58" s="158">
        <f>E45-E57</f>
        <v>0</v>
      </c>
    </row>
    <row r="59" spans="2:5" ht="15.75">
      <c r="B59" s="122" t="str">
        <f>CONCATENATE("",E1-2,"/",E1-1,"/",E1," Budget Authority Amount:")</f>
        <v>-2/-1/0 Budget Authority Amount:</v>
      </c>
      <c r="C59" s="478">
        <f>inputOth!B82</f>
        <v>0</v>
      </c>
      <c r="D59" s="478">
        <f>inputPrYr!D44</f>
        <v>0</v>
      </c>
      <c r="E59" s="376">
        <f>E57</f>
        <v>0</v>
      </c>
    </row>
    <row r="60" spans="2:5" ht="15.75">
      <c r="B60" s="93"/>
      <c r="C60" s="208">
        <f>IF(C57&gt;C59,"See Tab A","")</f>
      </c>
      <c r="D60" s="208">
        <f>IF(D57&gt;D59,"See Tab C","")</f>
      </c>
      <c r="E60" s="688">
        <f>IF(E58&lt;0,"See Tab E","")</f>
      </c>
    </row>
    <row r="61" spans="2:5" ht="15.75">
      <c r="B61" s="962" t="s">
        <v>999</v>
      </c>
      <c r="C61" s="849">
        <f>IF(C58&lt;0,"See Tab B","")</f>
      </c>
      <c r="D61" s="849">
        <f>IF(D58&lt;0,"See Tab D","")</f>
      </c>
      <c r="E61" s="855"/>
    </row>
    <row r="62" spans="2:5" ht="15.75">
      <c r="B62" s="851"/>
      <c r="C62" s="852"/>
      <c r="D62" s="852"/>
      <c r="E62" s="856"/>
    </row>
    <row r="63" spans="2:5" ht="15.75">
      <c r="B63" s="853"/>
      <c r="C63" s="854"/>
      <c r="D63" s="854"/>
      <c r="E63" s="76"/>
    </row>
    <row r="64" spans="2:5" ht="15.75">
      <c r="B64" s="16"/>
      <c r="C64" s="16"/>
      <c r="D64" s="16"/>
      <c r="E64" s="16"/>
    </row>
    <row r="65" spans="2:5" ht="15.75">
      <c r="B65" s="93" t="s">
        <v>42</v>
      </c>
      <c r="C65" s="711"/>
      <c r="D65" s="16"/>
      <c r="E65" s="16"/>
    </row>
  </sheetData>
  <sheetProtection/>
  <conditionalFormatting sqref="C13">
    <cfRule type="cellIs" priority="5" dxfId="260" operator="greaterThan" stopIfTrue="1">
      <formula>$C$15*0.1</formula>
    </cfRule>
  </conditionalFormatting>
  <conditionalFormatting sqref="D13">
    <cfRule type="cellIs" priority="6" dxfId="260" operator="greaterThan" stopIfTrue="1">
      <formula>$D$15*0.1</formula>
    </cfRule>
  </conditionalFormatting>
  <conditionalFormatting sqref="E13">
    <cfRule type="cellIs" priority="7" dxfId="260" operator="greaterThan" stopIfTrue="1">
      <formula>$E$15*0.1</formula>
    </cfRule>
  </conditionalFormatting>
  <conditionalFormatting sqref="C24">
    <cfRule type="cellIs" priority="8" dxfId="260" operator="greaterThan" stopIfTrue="1">
      <formula>$C$26*0.1</formula>
    </cfRule>
  </conditionalFormatting>
  <conditionalFormatting sqref="D24">
    <cfRule type="cellIs" priority="9" dxfId="260" operator="greaterThan" stopIfTrue="1">
      <formula>$D$26*0.1</formula>
    </cfRule>
  </conditionalFormatting>
  <conditionalFormatting sqref="E24">
    <cfRule type="cellIs" priority="10" dxfId="260" operator="greaterThan" stopIfTrue="1">
      <formula>$E$26*0.1</formula>
    </cfRule>
  </conditionalFormatting>
  <conditionalFormatting sqref="C42">
    <cfRule type="cellIs" priority="11" dxfId="260" operator="greaterThan" stopIfTrue="1">
      <formula>$C$44*0.1</formula>
    </cfRule>
  </conditionalFormatting>
  <conditionalFormatting sqref="D42">
    <cfRule type="cellIs" priority="12" dxfId="260" operator="greaterThan" stopIfTrue="1">
      <formula>$D$44*0.1</formula>
    </cfRule>
  </conditionalFormatting>
  <conditionalFormatting sqref="E42">
    <cfRule type="cellIs" priority="13" dxfId="260" operator="greaterThan" stopIfTrue="1">
      <formula>$E$44*0.1</formula>
    </cfRule>
  </conditionalFormatting>
  <conditionalFormatting sqref="C55">
    <cfRule type="cellIs" priority="14" dxfId="260" operator="greaterThan" stopIfTrue="1">
      <formula>$C$57*0.1</formula>
    </cfRule>
  </conditionalFormatting>
  <conditionalFormatting sqref="D55">
    <cfRule type="cellIs" priority="15" dxfId="260" operator="greaterThan" stopIfTrue="1">
      <formula>$D$57*0.1</formula>
    </cfRule>
  </conditionalFormatting>
  <conditionalFormatting sqref="E55">
    <cfRule type="cellIs" priority="16" dxfId="260" operator="greaterThan" stopIfTrue="1">
      <formula>$E$57*0.1</formula>
    </cfRule>
  </conditionalFormatting>
  <conditionalFormatting sqref="E58 C58 E27 C27">
    <cfRule type="cellIs" priority="17" dxfId="0" operator="lessThan" stopIfTrue="1">
      <formula>0</formula>
    </cfRule>
  </conditionalFormatting>
  <conditionalFormatting sqref="D57">
    <cfRule type="cellIs" priority="18" dxfId="0" operator="greaterThan" stopIfTrue="1">
      <formula>$D$59</formula>
    </cfRule>
  </conditionalFormatting>
  <conditionalFormatting sqref="C57">
    <cfRule type="cellIs" priority="19" dxfId="0" operator="greaterThan" stopIfTrue="1">
      <formula>$C$59</formula>
    </cfRule>
  </conditionalFormatting>
  <conditionalFormatting sqref="D26">
    <cfRule type="cellIs" priority="20" dxfId="0" operator="greaterThan" stopIfTrue="1">
      <formula>$D$28</formula>
    </cfRule>
  </conditionalFormatting>
  <conditionalFormatting sqref="C26">
    <cfRule type="cellIs" priority="21" dxfId="0" operator="greaterThan" stopIfTrue="1">
      <formula>$C$28</formula>
    </cfRule>
  </conditionalFormatting>
  <conditionalFormatting sqref="D58">
    <cfRule type="cellIs" priority="4" dxfId="1" operator="lessThan" stopIfTrue="1">
      <formula>0</formula>
    </cfRule>
  </conditionalFormatting>
  <conditionalFormatting sqref="D27">
    <cfRule type="cellIs" priority="3" dxfId="1" operator="lessThan" stopIfTrue="1">
      <formula>0</formula>
    </cfRule>
  </conditionalFormatting>
  <conditionalFormatting sqref="E28">
    <cfRule type="cellIs" priority="2" dxfId="0" operator="lessThan" stopIfTrue="1">
      <formula>0</formula>
    </cfRule>
  </conditionalFormatting>
  <conditionalFormatting sqref="E5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72" sqref="C72"/>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16384" width="8.8984375" style="17" customWidth="1"/>
  </cols>
  <sheetData>
    <row r="1" spans="2:5" ht="15.75">
      <c r="B1" s="124">
        <f>(inputPrYr!D3)</f>
        <v>0</v>
      </c>
      <c r="C1" s="16"/>
      <c r="D1" s="16"/>
      <c r="E1" s="177">
        <f>inputPrYr!C6</f>
        <v>0</v>
      </c>
    </row>
    <row r="2" spans="2:5" ht="15.75">
      <c r="B2" s="16"/>
      <c r="C2" s="16"/>
      <c r="D2" s="16"/>
      <c r="E2" s="120"/>
    </row>
    <row r="3" spans="2:5" ht="15.75">
      <c r="B3" s="27" t="s">
        <v>92</v>
      </c>
      <c r="C3" s="221"/>
      <c r="D3" s="221"/>
      <c r="E3" s="221"/>
    </row>
    <row r="4" spans="2:5" ht="15.75">
      <c r="B4" s="19" t="s">
        <v>23</v>
      </c>
      <c r="C4" s="592" t="s">
        <v>758</v>
      </c>
      <c r="D4" s="593" t="s">
        <v>759</v>
      </c>
      <c r="E4" s="99" t="s">
        <v>760</v>
      </c>
    </row>
    <row r="5" spans="2:5" ht="15.75">
      <c r="B5" s="331">
        <f>inputPrYr!B45</f>
        <v>0</v>
      </c>
      <c r="C5" s="314" t="str">
        <f>CONCATENATE("Actual for ",E1-2,"")</f>
        <v>Actual for -2</v>
      </c>
      <c r="D5" s="314" t="str">
        <f>CONCATENATE("Estimate for ",E1-1,"")</f>
        <v>Estimate for -1</v>
      </c>
      <c r="E5" s="187" t="str">
        <f>CONCATENATE("Year for ",E1,"")</f>
        <v>Year for 0</v>
      </c>
    </row>
    <row r="6" spans="2:5" ht="15.75">
      <c r="B6" s="188" t="s">
        <v>133</v>
      </c>
      <c r="C6" s="36"/>
      <c r="D6" s="158">
        <f>C27</f>
        <v>0</v>
      </c>
      <c r="E6" s="158">
        <f>D27</f>
        <v>0</v>
      </c>
    </row>
    <row r="7" spans="2:5" ht="15.75">
      <c r="B7" s="191" t="s">
        <v>135</v>
      </c>
      <c r="C7" s="51"/>
      <c r="D7" s="51"/>
      <c r="E7" s="51"/>
    </row>
    <row r="8" spans="2:5" ht="15.75">
      <c r="B8" s="204"/>
      <c r="C8" s="36"/>
      <c r="D8" s="36"/>
      <c r="E8" s="36"/>
    </row>
    <row r="9" spans="2:5" ht="15.75">
      <c r="B9" s="204"/>
      <c r="C9" s="36"/>
      <c r="D9" s="36"/>
      <c r="E9" s="36"/>
    </row>
    <row r="10" spans="2:5" ht="15.75">
      <c r="B10" s="204"/>
      <c r="C10" s="36"/>
      <c r="D10" s="36"/>
      <c r="E10" s="36"/>
    </row>
    <row r="11" spans="2:5" ht="15.75">
      <c r="B11" s="204"/>
      <c r="C11" s="36"/>
      <c r="D11" s="36"/>
      <c r="E11" s="36"/>
    </row>
    <row r="12" spans="2:5" ht="15.75">
      <c r="B12" s="196" t="s">
        <v>31</v>
      </c>
      <c r="C12" s="36"/>
      <c r="D12" s="36"/>
      <c r="E12" s="36"/>
    </row>
    <row r="13" spans="2:5" ht="15.75">
      <c r="B13" s="113" t="s">
        <v>236</v>
      </c>
      <c r="C13" s="36"/>
      <c r="D13" s="190"/>
      <c r="E13" s="190"/>
    </row>
    <row r="14" spans="2:5" ht="15.75">
      <c r="B14" s="188" t="s">
        <v>746</v>
      </c>
      <c r="C14" s="332">
        <f>IF(C15*0.1&lt;C13,"Exceed 10% Rule","")</f>
      </c>
      <c r="D14" s="218">
        <f>IF(D15*0.1&lt;D13,"Exceed 10% Rule","")</f>
      </c>
      <c r="E14" s="218">
        <f>IF(E15*0.1&lt;E13,"Exceed 10% Rule","")</f>
      </c>
    </row>
    <row r="15" spans="2:5" ht="15.75">
      <c r="B15" s="198" t="s">
        <v>32</v>
      </c>
      <c r="C15" s="222">
        <f>SUM(C8:C13)</f>
        <v>0</v>
      </c>
      <c r="D15" s="222">
        <f>SUM(D8:D13)</f>
        <v>0</v>
      </c>
      <c r="E15" s="222">
        <f>SUM(E8:E13)</f>
        <v>0</v>
      </c>
    </row>
    <row r="16" spans="2:5" ht="15.75">
      <c r="B16" s="198" t="s">
        <v>33</v>
      </c>
      <c r="C16" s="222">
        <f>C6+C15</f>
        <v>0</v>
      </c>
      <c r="D16" s="222">
        <f>D6+D15</f>
        <v>0</v>
      </c>
      <c r="E16" s="222">
        <f>E6+E15</f>
        <v>0</v>
      </c>
    </row>
    <row r="17" spans="2:5" ht="15.75">
      <c r="B17" s="105" t="s">
        <v>35</v>
      </c>
      <c r="C17" s="158"/>
      <c r="D17" s="158"/>
      <c r="E17" s="158"/>
    </row>
    <row r="18" spans="2:5" ht="15.75">
      <c r="B18" s="204"/>
      <c r="C18" s="36"/>
      <c r="D18" s="36"/>
      <c r="E18" s="36"/>
    </row>
    <row r="19" spans="2:5" ht="15.75">
      <c r="B19" s="204"/>
      <c r="C19" s="36"/>
      <c r="D19" s="36"/>
      <c r="E19" s="36"/>
    </row>
    <row r="20" spans="2:5" ht="15.75">
      <c r="B20" s="204"/>
      <c r="C20" s="36"/>
      <c r="D20" s="36"/>
      <c r="E20" s="36"/>
    </row>
    <row r="21" spans="2:5" ht="15.75">
      <c r="B21" s="204"/>
      <c r="C21" s="36"/>
      <c r="D21" s="36"/>
      <c r="E21" s="36"/>
    </row>
    <row r="22" spans="2:5" ht="15.75">
      <c r="B22" s="204"/>
      <c r="C22" s="36"/>
      <c r="D22" s="36"/>
      <c r="E22" s="36"/>
    </row>
    <row r="23" spans="2:5" ht="15.75">
      <c r="B23" s="205" t="str">
        <f>CONCATENATE("Cash Forward (",E1," column)")</f>
        <v>Cash Forward (0 column)</v>
      </c>
      <c r="C23" s="36"/>
      <c r="D23" s="36"/>
      <c r="E23" s="36"/>
    </row>
    <row r="24" spans="2:5" ht="15.75">
      <c r="B24" s="205" t="s">
        <v>236</v>
      </c>
      <c r="C24" s="36"/>
      <c r="D24" s="190"/>
      <c r="E24" s="190"/>
    </row>
    <row r="25" spans="2:5" ht="15.75">
      <c r="B25" s="205" t="s">
        <v>747</v>
      </c>
      <c r="C25" s="332">
        <f>IF(C26*0.1&lt;C24,"Exceed 10% Rule","")</f>
      </c>
      <c r="D25" s="218">
        <f>IF(D26*0.1&lt;D24,"Exceed 10% Rule","")</f>
      </c>
      <c r="E25" s="218">
        <f>IF(E26*0.1&lt;E24,"Exceed 10% Rule","")</f>
      </c>
    </row>
    <row r="26" spans="2:5" ht="15.75">
      <c r="B26" s="198" t="s">
        <v>39</v>
      </c>
      <c r="C26" s="222">
        <f>SUM(C18:C24)</f>
        <v>0</v>
      </c>
      <c r="D26" s="222">
        <f>SUM(D18:D24)</f>
        <v>0</v>
      </c>
      <c r="E26" s="222">
        <f>SUM(E18:E24)</f>
        <v>0</v>
      </c>
    </row>
    <row r="27" spans="2:5" ht="15.75">
      <c r="B27" s="105" t="s">
        <v>134</v>
      </c>
      <c r="C27" s="158">
        <f>C16-C26</f>
        <v>0</v>
      </c>
      <c r="D27" s="158">
        <f>D16-D26</f>
        <v>0</v>
      </c>
      <c r="E27" s="158">
        <f>E16-E26</f>
        <v>0</v>
      </c>
    </row>
    <row r="28" spans="2:5" ht="15.75">
      <c r="B28" s="122" t="str">
        <f>CONCATENATE("",E1-2,"/",E1-1,"/",E1," Budget Authority Amount:")</f>
        <v>-2/-1/0 Budget Authority Amount:</v>
      </c>
      <c r="C28" s="478">
        <f>inputOth!B83</f>
        <v>0</v>
      </c>
      <c r="D28" s="478">
        <f>inputPrYr!D45</f>
        <v>0</v>
      </c>
      <c r="E28" s="376">
        <f>E26</f>
        <v>0</v>
      </c>
    </row>
    <row r="29" spans="2:5" ht="15.75">
      <c r="B29" s="93"/>
      <c r="C29" s="208">
        <f>IF(C26&gt;C28,"See Tab A","")</f>
      </c>
      <c r="D29" s="208">
        <f>IF(D26&gt;D28,"See Tab C","")</f>
      </c>
      <c r="E29" s="688">
        <f>IF(E27&lt;0,"See Tab E","")</f>
      </c>
    </row>
    <row r="30" spans="2:5" ht="15.75">
      <c r="B30" s="93"/>
      <c r="C30" s="208">
        <f>IF(C27&lt;0,"See Tab B","")</f>
      </c>
      <c r="D30" s="208">
        <f>IF(D27&lt;0,"See Tab D","")</f>
      </c>
      <c r="E30" s="44"/>
    </row>
    <row r="31" spans="2:5" ht="15.75">
      <c r="B31" s="47"/>
      <c r="C31" s="44"/>
      <c r="D31" s="44"/>
      <c r="E31" s="44"/>
    </row>
    <row r="32" spans="2:5" ht="15.75">
      <c r="B32" s="19" t="s">
        <v>23</v>
      </c>
      <c r="C32" s="227"/>
      <c r="D32" s="227"/>
      <c r="E32" s="227"/>
    </row>
    <row r="33" spans="2:5" ht="15.75">
      <c r="B33" s="16"/>
      <c r="C33" s="211" t="str">
        <f aca="true" t="shared" si="0" ref="C33:E34">C4</f>
        <v>Prior Year </v>
      </c>
      <c r="D33" s="99" t="str">
        <f t="shared" si="0"/>
        <v>Current Year</v>
      </c>
      <c r="E33" s="99" t="str">
        <f t="shared" si="0"/>
        <v>Proposed Budget</v>
      </c>
    </row>
    <row r="34" spans="2:5" ht="15.75">
      <c r="B34" s="330">
        <f>inputPrYr!B46</f>
        <v>0</v>
      </c>
      <c r="C34" s="187" t="str">
        <f t="shared" si="0"/>
        <v>Actual for -2</v>
      </c>
      <c r="D34" s="187" t="str">
        <f t="shared" si="0"/>
        <v>Estimate for -1</v>
      </c>
      <c r="E34" s="187" t="str">
        <f t="shared" si="0"/>
        <v>Year for 0</v>
      </c>
    </row>
    <row r="35" spans="2:5" ht="15.75">
      <c r="B35" s="188" t="s">
        <v>133</v>
      </c>
      <c r="C35" s="36"/>
      <c r="D35" s="158">
        <f>C58</f>
        <v>0</v>
      </c>
      <c r="E35" s="158">
        <f>D58</f>
        <v>0</v>
      </c>
    </row>
    <row r="36" spans="2:5" ht="15.75">
      <c r="B36" s="188" t="s">
        <v>135</v>
      </c>
      <c r="C36" s="51"/>
      <c r="D36" s="51"/>
      <c r="E36" s="51"/>
    </row>
    <row r="37" spans="2:5" ht="15.75">
      <c r="B37" s="204"/>
      <c r="C37" s="36"/>
      <c r="D37" s="36"/>
      <c r="E37" s="36"/>
    </row>
    <row r="38" spans="2:5" ht="15.75">
      <c r="B38" s="204"/>
      <c r="C38" s="36"/>
      <c r="D38" s="36"/>
      <c r="E38" s="36"/>
    </row>
    <row r="39" spans="2:5" ht="15.75">
      <c r="B39" s="204"/>
      <c r="C39" s="36"/>
      <c r="D39" s="36"/>
      <c r="E39" s="36"/>
    </row>
    <row r="40" spans="2:5" ht="15.75">
      <c r="B40" s="204"/>
      <c r="C40" s="36"/>
      <c r="D40" s="36"/>
      <c r="E40" s="36"/>
    </row>
    <row r="41" spans="2:5" ht="15.75">
      <c r="B41" s="196" t="s">
        <v>31</v>
      </c>
      <c r="C41" s="36"/>
      <c r="D41" s="36"/>
      <c r="E41" s="36"/>
    </row>
    <row r="42" spans="2:5" ht="15.75">
      <c r="B42" s="113" t="s">
        <v>236</v>
      </c>
      <c r="C42" s="36"/>
      <c r="D42" s="190"/>
      <c r="E42" s="190"/>
    </row>
    <row r="43" spans="2:5" ht="15.75">
      <c r="B43" s="188" t="s">
        <v>746</v>
      </c>
      <c r="C43" s="332">
        <f>IF(C44*0.1&lt;C42,"Exceed 10% Rule","")</f>
      </c>
      <c r="D43" s="218">
        <f>IF(D44*0.1&lt;D42,"Exceed 10% Rule","")</f>
      </c>
      <c r="E43" s="218">
        <f>IF(E44*0.1&lt;E42,"Exceed 10% Rule","")</f>
      </c>
    </row>
    <row r="44" spans="2:5" ht="15.75">
      <c r="B44" s="198" t="s">
        <v>32</v>
      </c>
      <c r="C44" s="222">
        <f>SUM(C37:C42)</f>
        <v>0</v>
      </c>
      <c r="D44" s="222">
        <f>SUM(D37:D42)</f>
        <v>0</v>
      </c>
      <c r="E44" s="222">
        <f>SUM(E37:E42)</f>
        <v>0</v>
      </c>
    </row>
    <row r="45" spans="2:5" ht="15.75">
      <c r="B45" s="198" t="s">
        <v>33</v>
      </c>
      <c r="C45" s="222">
        <f>C35+C44</f>
        <v>0</v>
      </c>
      <c r="D45" s="222">
        <f>D35+D44</f>
        <v>0</v>
      </c>
      <c r="E45" s="222">
        <f>E35+E44</f>
        <v>0</v>
      </c>
    </row>
    <row r="46" spans="2:5" ht="15.75">
      <c r="B46" s="105" t="s">
        <v>35</v>
      </c>
      <c r="C46" s="158"/>
      <c r="D46" s="158"/>
      <c r="E46" s="158"/>
    </row>
    <row r="47" spans="2:5" ht="15.75">
      <c r="B47" s="204"/>
      <c r="C47" s="36"/>
      <c r="D47" s="36"/>
      <c r="E47" s="36"/>
    </row>
    <row r="48" spans="2:5" ht="15.75">
      <c r="B48" s="204"/>
      <c r="C48" s="36"/>
      <c r="D48" s="36"/>
      <c r="E48" s="36"/>
    </row>
    <row r="49" spans="2:5" ht="15.75">
      <c r="B49" s="204"/>
      <c r="C49" s="36"/>
      <c r="D49" s="36"/>
      <c r="E49" s="36"/>
    </row>
    <row r="50" spans="2:5" ht="15.75">
      <c r="B50" s="204"/>
      <c r="C50" s="36"/>
      <c r="D50" s="36"/>
      <c r="E50" s="36"/>
    </row>
    <row r="51" spans="2:5" ht="15.75">
      <c r="B51" s="204"/>
      <c r="C51" s="36"/>
      <c r="D51" s="36"/>
      <c r="E51" s="36"/>
    </row>
    <row r="52" spans="2:5" ht="15.75">
      <c r="B52" s="204"/>
      <c r="C52" s="36"/>
      <c r="D52" s="36"/>
      <c r="E52" s="36"/>
    </row>
    <row r="53" spans="2:5" ht="15.75">
      <c r="B53" s="204"/>
      <c r="C53" s="36"/>
      <c r="D53" s="36"/>
      <c r="E53" s="36"/>
    </row>
    <row r="54" spans="2:5" ht="15.75">
      <c r="B54" s="205" t="str">
        <f>CONCATENATE("Cash Forward (",E1," column)")</f>
        <v>Cash Forward (0 column)</v>
      </c>
      <c r="C54" s="36"/>
      <c r="D54" s="36"/>
      <c r="E54" s="36"/>
    </row>
    <row r="55" spans="2:5" ht="15.75">
      <c r="B55" s="205" t="s">
        <v>236</v>
      </c>
      <c r="C55" s="36"/>
      <c r="D55" s="190"/>
      <c r="E55" s="190"/>
    </row>
    <row r="56" spans="2:5" ht="15.75">
      <c r="B56" s="205" t="s">
        <v>747</v>
      </c>
      <c r="C56" s="332">
        <f>IF(C57*0.1&lt;C55,"Exceed 10% Rule","")</f>
      </c>
      <c r="D56" s="218">
        <f>IF(D57*0.1&lt;D55,"Exceed 10% Rule","")</f>
      </c>
      <c r="E56" s="218">
        <f>IF(E57*0.1&lt;E55,"Exceed 10% Rule","")</f>
      </c>
    </row>
    <row r="57" spans="2:5" ht="15.75">
      <c r="B57" s="198" t="s">
        <v>39</v>
      </c>
      <c r="C57" s="222">
        <f>SUM(C47:C55)</f>
        <v>0</v>
      </c>
      <c r="D57" s="222">
        <f>SUM(D47:D55)</f>
        <v>0</v>
      </c>
      <c r="E57" s="222">
        <f>SUM(E47:E55)</f>
        <v>0</v>
      </c>
    </row>
    <row r="58" spans="2:5" ht="15.75">
      <c r="B58" s="105" t="s">
        <v>134</v>
      </c>
      <c r="C58" s="158">
        <f>C45-C57</f>
        <v>0</v>
      </c>
      <c r="D58" s="158">
        <f>D45-D57</f>
        <v>0</v>
      </c>
      <c r="E58" s="158">
        <f>E45-E57</f>
        <v>0</v>
      </c>
    </row>
    <row r="59" spans="2:5" ht="15.75">
      <c r="B59" s="122" t="str">
        <f>CONCATENATE("",E1-2,"/",E1-1,"/",E1," Budget Authority Amount:")</f>
        <v>-2/-1/0 Budget Authority Amount:</v>
      </c>
      <c r="C59" s="478">
        <f>inputOth!B84</f>
        <v>0</v>
      </c>
      <c r="D59" s="478">
        <f>inputPrYr!D46</f>
        <v>0</v>
      </c>
      <c r="E59" s="376">
        <f>E57</f>
        <v>0</v>
      </c>
    </row>
    <row r="60" spans="2:5" ht="15.75">
      <c r="B60" s="93"/>
      <c r="C60" s="208">
        <f>IF(C57&gt;C59,"See Tab A","")</f>
      </c>
      <c r="D60" s="208">
        <f>IF(D57&gt;D59,"See Tab C","")</f>
      </c>
      <c r="E60" s="688">
        <f>IF(E58&lt;0,"See Tab E","")</f>
      </c>
    </row>
    <row r="61" spans="2:5" ht="15.75">
      <c r="B61" s="962" t="s">
        <v>999</v>
      </c>
      <c r="C61" s="849">
        <f>IF(C58&lt;0,"See Tab B","")</f>
      </c>
      <c r="D61" s="849">
        <f>IF(D58&lt;0,"See Tab D","")</f>
      </c>
      <c r="E61" s="855"/>
    </row>
    <row r="62" spans="2:5" ht="15.75">
      <c r="B62" s="851"/>
      <c r="C62" s="852"/>
      <c r="D62" s="852"/>
      <c r="E62" s="856"/>
    </row>
    <row r="63" spans="2:5" ht="15.75">
      <c r="B63" s="853"/>
      <c r="C63" s="854"/>
      <c r="D63" s="854"/>
      <c r="E63" s="76"/>
    </row>
    <row r="64" spans="2:5" ht="15.75">
      <c r="B64" s="16"/>
      <c r="C64" s="16"/>
      <c r="D64" s="16"/>
      <c r="E64" s="16"/>
    </row>
    <row r="65" spans="2:5" ht="15.75">
      <c r="B65" s="93" t="s">
        <v>42</v>
      </c>
      <c r="C65" s="711"/>
      <c r="D65" s="16"/>
      <c r="E65" s="16"/>
    </row>
  </sheetData>
  <sheetProtection/>
  <conditionalFormatting sqref="C13">
    <cfRule type="cellIs" priority="5" dxfId="260" operator="greaterThan" stopIfTrue="1">
      <formula>$C$15*0.1</formula>
    </cfRule>
  </conditionalFormatting>
  <conditionalFormatting sqref="D13">
    <cfRule type="cellIs" priority="6" dxfId="260" operator="greaterThan" stopIfTrue="1">
      <formula>$D$15*0.1</formula>
    </cfRule>
  </conditionalFormatting>
  <conditionalFormatting sqref="E13">
    <cfRule type="cellIs" priority="7" dxfId="260" operator="greaterThan" stopIfTrue="1">
      <formula>$E$15*0.1</formula>
    </cfRule>
  </conditionalFormatting>
  <conditionalFormatting sqref="C24">
    <cfRule type="cellIs" priority="8" dxfId="260" operator="greaterThan" stopIfTrue="1">
      <formula>$C$26*0.1</formula>
    </cfRule>
  </conditionalFormatting>
  <conditionalFormatting sqref="D24">
    <cfRule type="cellIs" priority="9" dxfId="260" operator="greaterThan" stopIfTrue="1">
      <formula>$D$26*0.1</formula>
    </cfRule>
  </conditionalFormatting>
  <conditionalFormatting sqref="E24">
    <cfRule type="cellIs" priority="10" dxfId="260" operator="greaterThan" stopIfTrue="1">
      <formula>$E$26*0.1</formula>
    </cfRule>
  </conditionalFormatting>
  <conditionalFormatting sqref="C42">
    <cfRule type="cellIs" priority="11" dxfId="260" operator="greaterThan" stopIfTrue="1">
      <formula>$C$44*0.1</formula>
    </cfRule>
  </conditionalFormatting>
  <conditionalFormatting sqref="D42">
    <cfRule type="cellIs" priority="12" dxfId="260" operator="greaterThan" stopIfTrue="1">
      <formula>$D$44*0.1</formula>
    </cfRule>
  </conditionalFormatting>
  <conditionalFormatting sqref="E42">
    <cfRule type="cellIs" priority="13" dxfId="260" operator="greaterThan" stopIfTrue="1">
      <formula>$E$44*0.1</formula>
    </cfRule>
  </conditionalFormatting>
  <conditionalFormatting sqref="C55">
    <cfRule type="cellIs" priority="14" dxfId="260" operator="greaterThan" stopIfTrue="1">
      <formula>$C$57*0.1</formula>
    </cfRule>
  </conditionalFormatting>
  <conditionalFormatting sqref="D55">
    <cfRule type="cellIs" priority="15" dxfId="260" operator="greaterThan" stopIfTrue="1">
      <formula>$D$57*0.1</formula>
    </cfRule>
  </conditionalFormatting>
  <conditionalFormatting sqref="E55">
    <cfRule type="cellIs" priority="16" dxfId="260" operator="greaterThan" stopIfTrue="1">
      <formula>$E$57*0.1</formula>
    </cfRule>
  </conditionalFormatting>
  <conditionalFormatting sqref="E27 C27 E58 C58">
    <cfRule type="cellIs" priority="17" dxfId="0" operator="lessThan" stopIfTrue="1">
      <formula>0</formula>
    </cfRule>
  </conditionalFormatting>
  <conditionalFormatting sqref="D26">
    <cfRule type="cellIs" priority="18" dxfId="0" operator="greaterThan" stopIfTrue="1">
      <formula>$D$28</formula>
    </cfRule>
  </conditionalFormatting>
  <conditionalFormatting sqref="C26">
    <cfRule type="cellIs" priority="19" dxfId="0" operator="greaterThan" stopIfTrue="1">
      <formula>$C$28</formula>
    </cfRule>
  </conditionalFormatting>
  <conditionalFormatting sqref="D57">
    <cfRule type="cellIs" priority="20" dxfId="0" operator="greaterThan" stopIfTrue="1">
      <formula>$D$59</formula>
    </cfRule>
  </conditionalFormatting>
  <conditionalFormatting sqref="C57">
    <cfRule type="cellIs" priority="21" dxfId="0" operator="greaterThan" stopIfTrue="1">
      <formula>$C$59</formula>
    </cfRule>
  </conditionalFormatting>
  <conditionalFormatting sqref="D58">
    <cfRule type="cellIs" priority="4" dxfId="1" operator="lessThan" stopIfTrue="1">
      <formula>0</formula>
    </cfRule>
  </conditionalFormatting>
  <conditionalFormatting sqref="D27">
    <cfRule type="cellIs" priority="3" dxfId="1" operator="lessThan" stopIfTrue="1">
      <formula>0</formula>
    </cfRule>
  </conditionalFormatting>
  <conditionalFormatting sqref="E28">
    <cfRule type="cellIs" priority="2" dxfId="0" operator="lessThan" stopIfTrue="1">
      <formula>0</formula>
    </cfRule>
  </conditionalFormatting>
  <conditionalFormatting sqref="E5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2"/>
  <sheetViews>
    <sheetView zoomScalePageLayoutView="0" workbookViewId="0" topLeftCell="A1">
      <selection activeCell="C64" sqref="C64"/>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124">
        <f>inputPrYr!D3</f>
        <v>0</v>
      </c>
      <c r="C1" s="16"/>
      <c r="D1" s="16"/>
      <c r="E1" s="150">
        <f>inputPrYr!$C$6</f>
        <v>0</v>
      </c>
    </row>
    <row r="2" spans="2:5" ht="15.75">
      <c r="B2" s="16"/>
      <c r="C2" s="16"/>
      <c r="D2" s="16"/>
      <c r="E2" s="120"/>
    </row>
    <row r="3" spans="2:5" ht="15.75">
      <c r="B3" s="27" t="s">
        <v>92</v>
      </c>
      <c r="C3" s="228"/>
      <c r="D3" s="228"/>
      <c r="E3" s="229"/>
    </row>
    <row r="4" spans="2:5" ht="15.75">
      <c r="B4" s="19" t="s">
        <v>23</v>
      </c>
      <c r="C4" s="592" t="s">
        <v>758</v>
      </c>
      <c r="D4" s="593" t="s">
        <v>759</v>
      </c>
      <c r="E4" s="99" t="s">
        <v>760</v>
      </c>
    </row>
    <row r="5" spans="2:5" ht="15.75">
      <c r="B5" s="331">
        <f>inputPrYr!B49</f>
        <v>0</v>
      </c>
      <c r="C5" s="314" t="str">
        <f>CONCATENATE("Actual for ",E1-2,"")</f>
        <v>Actual for -2</v>
      </c>
      <c r="D5" s="314" t="str">
        <f>CONCATENATE("Estimate for ",E1-1,"")</f>
        <v>Estimate for -1</v>
      </c>
      <c r="E5" s="187" t="str">
        <f>CONCATENATE("Year for ",E1,"")</f>
        <v>Year for 0</v>
      </c>
    </row>
    <row r="6" spans="2:5" ht="15.75">
      <c r="B6" s="105" t="s">
        <v>133</v>
      </c>
      <c r="C6" s="36"/>
      <c r="D6" s="158">
        <f>C45</f>
        <v>0</v>
      </c>
      <c r="E6" s="158">
        <f>D45</f>
        <v>0</v>
      </c>
    </row>
    <row r="7" spans="2:5" ht="15.75">
      <c r="B7" s="105" t="s">
        <v>135</v>
      </c>
      <c r="C7" s="51"/>
      <c r="D7" s="51"/>
      <c r="E7" s="51"/>
    </row>
    <row r="8" spans="2:5" ht="15.75">
      <c r="B8" s="226"/>
      <c r="C8" s="195"/>
      <c r="D8" s="195"/>
      <c r="E8" s="195"/>
    </row>
    <row r="9" spans="2:5" ht="15.75">
      <c r="B9" s="204"/>
      <c r="C9" s="195"/>
      <c r="D9" s="195"/>
      <c r="E9" s="195"/>
    </row>
    <row r="10" spans="2:5" ht="15.75">
      <c r="B10" s="204"/>
      <c r="C10" s="195"/>
      <c r="D10" s="195"/>
      <c r="E10" s="195"/>
    </row>
    <row r="11" spans="2:5" ht="15.75">
      <c r="B11" s="204"/>
      <c r="C11" s="195"/>
      <c r="D11" s="195"/>
      <c r="E11" s="195"/>
    </row>
    <row r="12" spans="2:5" ht="15.75">
      <c r="B12" s="204"/>
      <c r="C12" s="195"/>
      <c r="D12" s="195"/>
      <c r="E12" s="195"/>
    </row>
    <row r="13" spans="2:5" ht="15.75">
      <c r="B13" s="204"/>
      <c r="C13" s="195"/>
      <c r="D13" s="195"/>
      <c r="E13" s="195"/>
    </row>
    <row r="14" spans="2:5" ht="15.75">
      <c r="B14" s="225"/>
      <c r="C14" s="69"/>
      <c r="D14" s="69"/>
      <c r="E14" s="69"/>
    </row>
    <row r="15" spans="2:5" ht="15.75">
      <c r="B15" s="204"/>
      <c r="C15" s="195"/>
      <c r="D15" s="195"/>
      <c r="E15" s="195"/>
    </row>
    <row r="16" spans="2:5" ht="15.75">
      <c r="B16" s="230" t="s">
        <v>31</v>
      </c>
      <c r="C16" s="195"/>
      <c r="D16" s="195"/>
      <c r="E16" s="195"/>
    </row>
    <row r="17" spans="2:5" ht="15.75">
      <c r="B17" s="113" t="s">
        <v>236</v>
      </c>
      <c r="C17" s="195"/>
      <c r="D17" s="193"/>
      <c r="E17" s="193"/>
    </row>
    <row r="18" spans="2:5" ht="15.75">
      <c r="B18" s="188" t="s">
        <v>746</v>
      </c>
      <c r="C18" s="332">
        <f>IF(C19*0.1&lt;C17,"Exceed 10% Rule","")</f>
      </c>
      <c r="D18" s="218">
        <f>IF(D19*0.1&lt;D17,"Exceed 10% Rule","")</f>
      </c>
      <c r="E18" s="218">
        <f>IF(E19*0.1&lt;E17,"Exceed 10% Rule","")</f>
      </c>
    </row>
    <row r="19" spans="2:5" ht="15.75">
      <c r="B19" s="198" t="s">
        <v>32</v>
      </c>
      <c r="C19" s="222">
        <f>SUM(C8:C17)</f>
        <v>0</v>
      </c>
      <c r="D19" s="222">
        <f>SUM(D8:D17)</f>
        <v>0</v>
      </c>
      <c r="E19" s="222">
        <f>SUM(E8:E17)</f>
        <v>0</v>
      </c>
    </row>
    <row r="20" spans="2:5" ht="15.75">
      <c r="B20" s="198" t="s">
        <v>33</v>
      </c>
      <c r="C20" s="222">
        <f>C6+C19</f>
        <v>0</v>
      </c>
      <c r="D20" s="222">
        <f>D6+D19</f>
        <v>0</v>
      </c>
      <c r="E20" s="222">
        <f>E6+E19</f>
        <v>0</v>
      </c>
    </row>
    <row r="21" spans="2:5" ht="15.75">
      <c r="B21" s="105" t="s">
        <v>35</v>
      </c>
      <c r="C21" s="51"/>
      <c r="D21" s="51"/>
      <c r="E21" s="51"/>
    </row>
    <row r="22" spans="2:5" ht="15.75">
      <c r="B22" s="204" t="s">
        <v>159</v>
      </c>
      <c r="C22" s="195"/>
      <c r="D22" s="195"/>
      <c r="E22" s="195"/>
    </row>
    <row r="23" spans="2:5" ht="15.75">
      <c r="B23" s="204" t="s">
        <v>246</v>
      </c>
      <c r="C23" s="195"/>
      <c r="D23" s="195"/>
      <c r="E23" s="195"/>
    </row>
    <row r="24" spans="2:5" ht="15.75">
      <c r="B24" s="204"/>
      <c r="C24" s="69"/>
      <c r="D24" s="69"/>
      <c r="E24" s="69"/>
    </row>
    <row r="25" spans="2:5" ht="15.75">
      <c r="B25" s="204"/>
      <c r="C25" s="69"/>
      <c r="D25" s="69"/>
      <c r="E25" s="69"/>
    </row>
    <row r="26" spans="2:5" ht="15.75">
      <c r="B26" s="204"/>
      <c r="C26" s="69"/>
      <c r="D26" s="69"/>
      <c r="E26" s="69"/>
    </row>
    <row r="27" spans="2:5" ht="15.75">
      <c r="B27" s="204"/>
      <c r="C27" s="69"/>
      <c r="D27" s="69"/>
      <c r="E27" s="69"/>
    </row>
    <row r="28" spans="2:5" ht="15.75">
      <c r="B28" s="204"/>
      <c r="C28" s="69"/>
      <c r="D28" s="69"/>
      <c r="E28" s="69"/>
    </row>
    <row r="29" spans="2:5" ht="15.75">
      <c r="B29" s="204"/>
      <c r="C29" s="69"/>
      <c r="D29" s="69"/>
      <c r="E29" s="69"/>
    </row>
    <row r="30" spans="2:5" ht="15.75">
      <c r="B30" s="204"/>
      <c r="C30" s="69"/>
      <c r="D30" s="69"/>
      <c r="E30" s="69"/>
    </row>
    <row r="31" spans="2:5" ht="15.75">
      <c r="B31" s="204"/>
      <c r="C31" s="69"/>
      <c r="D31" s="69"/>
      <c r="E31" s="69"/>
    </row>
    <row r="32" spans="2:5" ht="15.75">
      <c r="B32" s="204"/>
      <c r="C32" s="195"/>
      <c r="D32" s="195"/>
      <c r="E32" s="195"/>
    </row>
    <row r="33" spans="2:5" ht="15.75">
      <c r="B33" s="204"/>
      <c r="C33" s="195"/>
      <c r="D33" s="195"/>
      <c r="E33" s="195"/>
    </row>
    <row r="34" spans="2:5" ht="15.75">
      <c r="B34" s="204"/>
      <c r="C34" s="195"/>
      <c r="D34" s="195"/>
      <c r="E34" s="195"/>
    </row>
    <row r="35" spans="2:5" ht="15.75">
      <c r="B35" s="204"/>
      <c r="C35" s="195"/>
      <c r="D35" s="195"/>
      <c r="E35" s="195"/>
    </row>
    <row r="36" spans="2:5" ht="15.75">
      <c r="B36" s="204"/>
      <c r="C36" s="195"/>
      <c r="D36" s="195"/>
      <c r="E36" s="195"/>
    </row>
    <row r="37" spans="2:5" ht="15.75">
      <c r="B37" s="204"/>
      <c r="C37" s="195"/>
      <c r="D37" s="195"/>
      <c r="E37" s="195"/>
    </row>
    <row r="38" spans="2:5" ht="15.75">
      <c r="B38" s="204"/>
      <c r="C38" s="195"/>
      <c r="D38" s="195"/>
      <c r="E38" s="195"/>
    </row>
    <row r="39" spans="2:5" ht="15.75">
      <c r="B39" s="204"/>
      <c r="C39" s="195"/>
      <c r="D39" s="195"/>
      <c r="E39" s="195"/>
    </row>
    <row r="40" spans="2:5" ht="15.75">
      <c r="B40" s="204"/>
      <c r="C40" s="195"/>
      <c r="D40" s="195"/>
      <c r="E40" s="195"/>
    </row>
    <row r="41" spans="2:5" ht="15.75">
      <c r="B41" s="205" t="str">
        <f>CONCATENATE("Cash Forward (",E1," column)")</f>
        <v>Cash Forward (0 column)</v>
      </c>
      <c r="C41" s="195"/>
      <c r="D41" s="195"/>
      <c r="E41" s="195"/>
    </row>
    <row r="42" spans="2:5" ht="15.75">
      <c r="B42" s="205" t="s">
        <v>236</v>
      </c>
      <c r="C42" s="195"/>
      <c r="D42" s="193"/>
      <c r="E42" s="193"/>
    </row>
    <row r="43" spans="2:5" ht="15.75">
      <c r="B43" s="205" t="s">
        <v>747</v>
      </c>
      <c r="C43" s="332">
        <f>IF(C44*0.1&lt;C42,"Exceed 10% Rule","")</f>
      </c>
      <c r="D43" s="218">
        <f>IF(D44*0.1&lt;D42,"Exceed 10% Rule","")</f>
      </c>
      <c r="E43" s="218">
        <f>IF(E44*0.1&lt;E42,"Exceed 10% Rule","")</f>
      </c>
    </row>
    <row r="44" spans="2:5" ht="15.75">
      <c r="B44" s="198" t="s">
        <v>39</v>
      </c>
      <c r="C44" s="222">
        <f>SUM(C22:C42)</f>
        <v>0</v>
      </c>
      <c r="D44" s="222">
        <f>SUM(D22:D42)</f>
        <v>0</v>
      </c>
      <c r="E44" s="222">
        <f>SUM(E22:E42)</f>
        <v>0</v>
      </c>
    </row>
    <row r="45" spans="2:5" ht="15.75">
      <c r="B45" s="105" t="s">
        <v>134</v>
      </c>
      <c r="C45" s="158">
        <f>C20-C44</f>
        <v>0</v>
      </c>
      <c r="D45" s="158">
        <f>D20-D44</f>
        <v>0</v>
      </c>
      <c r="E45" s="158">
        <f>E20-E44</f>
        <v>0</v>
      </c>
    </row>
    <row r="46" spans="2:5" ht="15.75">
      <c r="B46" s="122" t="str">
        <f>CONCATENATE("",E1-2,"/",E1-1,"/",E1," Budget Authority Amount:")</f>
        <v>-2/-1/0 Budget Authority Amount:</v>
      </c>
      <c r="C46" s="478">
        <f>inputOth!B85</f>
        <v>0</v>
      </c>
      <c r="D46" s="478">
        <f>inputPrYr!D49</f>
        <v>0</v>
      </c>
      <c r="E46" s="376">
        <f>E44</f>
        <v>0</v>
      </c>
    </row>
    <row r="47" spans="2:5" ht="15.75">
      <c r="B47" s="93"/>
      <c r="C47" s="208">
        <f>IF(C44&gt;C46,"See Tab A","")</f>
      </c>
      <c r="D47" s="208">
        <f>IF(D44&gt;D46,"See Tab C","")</f>
      </c>
      <c r="E47" s="688">
        <f>IF(E45&lt;0,"See Tab E","")</f>
      </c>
    </row>
    <row r="48" spans="2:5" ht="15.75">
      <c r="B48" s="962" t="s">
        <v>999</v>
      </c>
      <c r="C48" s="849">
        <f>IF(C45&lt;0,"See Tab B","")</f>
      </c>
      <c r="D48" s="849">
        <f>IF(D45&lt;0,"See Tab D","")</f>
      </c>
      <c r="E48" s="857"/>
    </row>
    <row r="49" spans="2:5" ht="15.75">
      <c r="B49" s="851"/>
      <c r="C49" s="852"/>
      <c r="D49" s="852"/>
      <c r="E49" s="858"/>
    </row>
    <row r="50" spans="2:5" ht="15.75">
      <c r="B50" s="853"/>
      <c r="C50" s="854"/>
      <c r="D50" s="854"/>
      <c r="E50" s="859"/>
    </row>
    <row r="51" spans="2:5" ht="15">
      <c r="B51" s="66"/>
      <c r="C51" s="66"/>
      <c r="D51" s="66"/>
      <c r="E51" s="66"/>
    </row>
    <row r="52" spans="2:5" ht="15.75">
      <c r="B52" s="93" t="s">
        <v>42</v>
      </c>
      <c r="C52" s="711"/>
      <c r="D52" s="66"/>
      <c r="E52" s="66"/>
    </row>
  </sheetData>
  <sheetProtection/>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2">
    <cfRule type="cellIs" priority="6" dxfId="260" operator="greaterThan" stopIfTrue="1">
      <formula>$C$44*0.1</formula>
    </cfRule>
  </conditionalFormatting>
  <conditionalFormatting sqref="D42">
    <cfRule type="cellIs" priority="7" dxfId="260" operator="greaterThan" stopIfTrue="1">
      <formula>$D$44*0.1</formula>
    </cfRule>
  </conditionalFormatting>
  <conditionalFormatting sqref="E42">
    <cfRule type="cellIs" priority="8" dxfId="260" operator="greaterThan" stopIfTrue="1">
      <formula>$E$44*0.1</formula>
    </cfRule>
  </conditionalFormatting>
  <conditionalFormatting sqref="D44">
    <cfRule type="cellIs" priority="9" dxfId="0" operator="greaterThan" stopIfTrue="1">
      <formula>$D$46</formula>
    </cfRule>
  </conditionalFormatting>
  <conditionalFormatting sqref="C44">
    <cfRule type="cellIs" priority="10" dxfId="0" operator="greaterThan" stopIfTrue="1">
      <formula>$C$46</formula>
    </cfRule>
  </conditionalFormatting>
  <conditionalFormatting sqref="C45 E45">
    <cfRule type="cellIs" priority="11" dxfId="0" operator="lessThan" stopIfTrue="1">
      <formula>0</formula>
    </cfRule>
  </conditionalFormatting>
  <conditionalFormatting sqref="D45">
    <cfRule type="cellIs" priority="2" dxfId="1" operator="lessThan" stopIfTrue="1">
      <formula>0</formula>
    </cfRule>
  </conditionalFormatting>
  <conditionalFormatting sqref="E46">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0"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2"/>
  <sheetViews>
    <sheetView zoomScalePageLayoutView="0" workbookViewId="0" topLeftCell="A1">
      <selection activeCell="C61" sqref="C61"/>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124">
        <f>inputPrYr!D3</f>
        <v>0</v>
      </c>
      <c r="C1" s="16"/>
      <c r="D1" s="16"/>
      <c r="E1" s="150">
        <f>inputPrYr!$C$6</f>
        <v>0</v>
      </c>
    </row>
    <row r="2" spans="2:5" ht="15.75">
      <c r="B2" s="16"/>
      <c r="C2" s="16"/>
      <c r="D2" s="16"/>
      <c r="E2" s="120"/>
    </row>
    <row r="3" spans="2:5" ht="15.75">
      <c r="B3" s="27" t="s">
        <v>92</v>
      </c>
      <c r="C3" s="228"/>
      <c r="D3" s="228"/>
      <c r="E3" s="229"/>
    </row>
    <row r="4" spans="2:5" ht="15.75">
      <c r="B4" s="19" t="s">
        <v>23</v>
      </c>
      <c r="C4" s="592" t="s">
        <v>758</v>
      </c>
      <c r="D4" s="593" t="s">
        <v>759</v>
      </c>
      <c r="E4" s="99" t="s">
        <v>760</v>
      </c>
    </row>
    <row r="5" spans="2:5" ht="15.75">
      <c r="B5" s="331">
        <f>inputPrYr!B50</f>
        <v>0</v>
      </c>
      <c r="C5" s="314" t="str">
        <f>CONCATENATE("Actual for ",E1-2,"")</f>
        <v>Actual for -2</v>
      </c>
      <c r="D5" s="314" t="str">
        <f>CONCATENATE("Estimate for ",E1-1,"")</f>
        <v>Estimate for -1</v>
      </c>
      <c r="E5" s="187" t="str">
        <f>CONCATENATE("Year for ",E1,"")</f>
        <v>Year for 0</v>
      </c>
    </row>
    <row r="6" spans="2:5" ht="15.75">
      <c r="B6" s="105" t="s">
        <v>133</v>
      </c>
      <c r="C6" s="36"/>
      <c r="D6" s="158">
        <f>C45</f>
        <v>0</v>
      </c>
      <c r="E6" s="158">
        <f>D45</f>
        <v>0</v>
      </c>
    </row>
    <row r="7" spans="2:5" ht="15.75">
      <c r="B7" s="105" t="s">
        <v>135</v>
      </c>
      <c r="C7" s="51"/>
      <c r="D7" s="51"/>
      <c r="E7" s="51"/>
    </row>
    <row r="8" spans="2:5" ht="15.75">
      <c r="B8" s="226"/>
      <c r="C8" s="195"/>
      <c r="D8" s="195"/>
      <c r="E8" s="195"/>
    </row>
    <row r="9" spans="2:5" ht="15.75">
      <c r="B9" s="204"/>
      <c r="C9" s="195"/>
      <c r="D9" s="195"/>
      <c r="E9" s="195"/>
    </row>
    <row r="10" spans="2:5" ht="15.75">
      <c r="B10" s="204"/>
      <c r="C10" s="195"/>
      <c r="D10" s="195"/>
      <c r="E10" s="195"/>
    </row>
    <row r="11" spans="2:5" ht="15.75">
      <c r="B11" s="204"/>
      <c r="C11" s="195"/>
      <c r="D11" s="195"/>
      <c r="E11" s="195"/>
    </row>
    <row r="12" spans="2:5" ht="15.75">
      <c r="B12" s="204"/>
      <c r="C12" s="195"/>
      <c r="D12" s="195"/>
      <c r="E12" s="195"/>
    </row>
    <row r="13" spans="2:5" ht="15.75">
      <c r="B13" s="204"/>
      <c r="C13" s="195"/>
      <c r="D13" s="195"/>
      <c r="E13" s="195"/>
    </row>
    <row r="14" spans="2:5" ht="15.75">
      <c r="B14" s="225"/>
      <c r="C14" s="69"/>
      <c r="D14" s="69"/>
      <c r="E14" s="69"/>
    </row>
    <row r="15" spans="2:5" ht="15.75">
      <c r="B15" s="204"/>
      <c r="C15" s="195"/>
      <c r="D15" s="195"/>
      <c r="E15" s="195"/>
    </row>
    <row r="16" spans="2:5" ht="15.75">
      <c r="B16" s="230" t="s">
        <v>31</v>
      </c>
      <c r="C16" s="195"/>
      <c r="D16" s="195"/>
      <c r="E16" s="195"/>
    </row>
    <row r="17" spans="2:5" ht="15.75">
      <c r="B17" s="113" t="s">
        <v>236</v>
      </c>
      <c r="C17" s="195"/>
      <c r="D17" s="193"/>
      <c r="E17" s="193"/>
    </row>
    <row r="18" spans="2:5" ht="15.75">
      <c r="B18" s="188" t="s">
        <v>746</v>
      </c>
      <c r="C18" s="332">
        <f>IF(C19*0.1&lt;C17,"Exceed 10% Rule","")</f>
      </c>
      <c r="D18" s="218">
        <f>IF(D19*0.1&lt;D17,"Exceed 10% Rule","")</f>
      </c>
      <c r="E18" s="218">
        <f>IF(E19*0.1&lt;E17,"Exceed 10% Rule","")</f>
      </c>
    </row>
    <row r="19" spans="2:5" ht="15.75">
      <c r="B19" s="198" t="s">
        <v>32</v>
      </c>
      <c r="C19" s="222">
        <f>SUM(C8:C17)</f>
        <v>0</v>
      </c>
      <c r="D19" s="222">
        <f>SUM(D8:D17)</f>
        <v>0</v>
      </c>
      <c r="E19" s="222">
        <f>SUM(E8:E17)</f>
        <v>0</v>
      </c>
    </row>
    <row r="20" spans="2:5" ht="15.75">
      <c r="B20" s="198" t="s">
        <v>33</v>
      </c>
      <c r="C20" s="222">
        <f>C6+C19</f>
        <v>0</v>
      </c>
      <c r="D20" s="222">
        <f>D6+D19</f>
        <v>0</v>
      </c>
      <c r="E20" s="222">
        <f>E6+E19</f>
        <v>0</v>
      </c>
    </row>
    <row r="21" spans="2:5" ht="15.75">
      <c r="B21" s="105" t="s">
        <v>35</v>
      </c>
      <c r="C21" s="51"/>
      <c r="D21" s="51"/>
      <c r="E21" s="51"/>
    </row>
    <row r="22" spans="2:5" ht="15.75">
      <c r="B22" s="204" t="s">
        <v>159</v>
      </c>
      <c r="C22" s="195"/>
      <c r="D22" s="195"/>
      <c r="E22" s="195"/>
    </row>
    <row r="23" spans="2:5" ht="15.75">
      <c r="B23" s="204" t="s">
        <v>246</v>
      </c>
      <c r="C23" s="195"/>
      <c r="D23" s="195"/>
      <c r="E23" s="195"/>
    </row>
    <row r="24" spans="2:5" ht="15.75">
      <c r="B24" s="204"/>
      <c r="C24" s="69"/>
      <c r="D24" s="69"/>
      <c r="E24" s="69"/>
    </row>
    <row r="25" spans="2:5" ht="15.75">
      <c r="B25" s="204"/>
      <c r="C25" s="69"/>
      <c r="D25" s="69"/>
      <c r="E25" s="69"/>
    </row>
    <row r="26" spans="2:5" ht="15.75">
      <c r="B26" s="204"/>
      <c r="C26" s="69"/>
      <c r="D26" s="69"/>
      <c r="E26" s="69"/>
    </row>
    <row r="27" spans="2:5" ht="15.75">
      <c r="B27" s="204"/>
      <c r="C27" s="69"/>
      <c r="D27" s="69"/>
      <c r="E27" s="69"/>
    </row>
    <row r="28" spans="2:5" ht="15.75">
      <c r="B28" s="204"/>
      <c r="C28" s="69"/>
      <c r="D28" s="69"/>
      <c r="E28" s="69"/>
    </row>
    <row r="29" spans="2:5" ht="15.75">
      <c r="B29" s="204"/>
      <c r="C29" s="69"/>
      <c r="D29" s="69"/>
      <c r="E29" s="69"/>
    </row>
    <row r="30" spans="2:5" ht="15.75">
      <c r="B30" s="204"/>
      <c r="C30" s="69"/>
      <c r="D30" s="69"/>
      <c r="E30" s="69"/>
    </row>
    <row r="31" spans="2:5" ht="15.75">
      <c r="B31" s="204"/>
      <c r="C31" s="69"/>
      <c r="D31" s="69"/>
      <c r="E31" s="69"/>
    </row>
    <row r="32" spans="2:5" ht="15.75">
      <c r="B32" s="204"/>
      <c r="C32" s="195"/>
      <c r="D32" s="195"/>
      <c r="E32" s="195"/>
    </row>
    <row r="33" spans="2:5" ht="15.75">
      <c r="B33" s="204"/>
      <c r="C33" s="195"/>
      <c r="D33" s="195"/>
      <c r="E33" s="195"/>
    </row>
    <row r="34" spans="2:5" ht="15.75">
      <c r="B34" s="204"/>
      <c r="C34" s="195"/>
      <c r="D34" s="195"/>
      <c r="E34" s="195"/>
    </row>
    <row r="35" spans="2:5" ht="15.75">
      <c r="B35" s="204"/>
      <c r="C35" s="195"/>
      <c r="D35" s="195"/>
      <c r="E35" s="195"/>
    </row>
    <row r="36" spans="2:5" ht="15.75">
      <c r="B36" s="204"/>
      <c r="C36" s="195"/>
      <c r="D36" s="195"/>
      <c r="E36" s="195"/>
    </row>
    <row r="37" spans="2:5" ht="15.75">
      <c r="B37" s="204"/>
      <c r="C37" s="195"/>
      <c r="D37" s="195"/>
      <c r="E37" s="195"/>
    </row>
    <row r="38" spans="2:5" ht="15.75">
      <c r="B38" s="204"/>
      <c r="C38" s="195"/>
      <c r="D38" s="195"/>
      <c r="E38" s="195"/>
    </row>
    <row r="39" spans="2:5" ht="15.75">
      <c r="B39" s="204"/>
      <c r="C39" s="195"/>
      <c r="D39" s="195"/>
      <c r="E39" s="195"/>
    </row>
    <row r="40" spans="2:5" ht="15.75">
      <c r="B40" s="204"/>
      <c r="C40" s="195"/>
      <c r="D40" s="195"/>
      <c r="E40" s="195"/>
    </row>
    <row r="41" spans="2:5" ht="15.75">
      <c r="B41" s="205" t="str">
        <f>CONCATENATE("Cash Forward (",E1," column)")</f>
        <v>Cash Forward (0 column)</v>
      </c>
      <c r="C41" s="195"/>
      <c r="D41" s="195"/>
      <c r="E41" s="195"/>
    </row>
    <row r="42" spans="2:5" ht="15.75">
      <c r="B42" s="205" t="s">
        <v>236</v>
      </c>
      <c r="C42" s="195"/>
      <c r="D42" s="193"/>
      <c r="E42" s="193"/>
    </row>
    <row r="43" spans="2:5" ht="15.75">
      <c r="B43" s="205" t="s">
        <v>747</v>
      </c>
      <c r="C43" s="332">
        <f>IF(C44*0.1&lt;C42,"Exceed 10% Rule","")</f>
      </c>
      <c r="D43" s="218">
        <f>IF(D44*0.1&lt;D42,"Exceed 10% Rule","")</f>
      </c>
      <c r="E43" s="218">
        <f>IF(E44*0.1&lt;E42,"Exceed 10% Rule","")</f>
      </c>
    </row>
    <row r="44" spans="2:5" ht="15.75">
      <c r="B44" s="198" t="s">
        <v>39</v>
      </c>
      <c r="C44" s="222">
        <f>SUM(C22:C42)</f>
        <v>0</v>
      </c>
      <c r="D44" s="222">
        <f>SUM(D22:D42)</f>
        <v>0</v>
      </c>
      <c r="E44" s="222">
        <f>SUM(E22:E42)</f>
        <v>0</v>
      </c>
    </row>
    <row r="45" spans="2:5" ht="15.75">
      <c r="B45" s="105" t="s">
        <v>134</v>
      </c>
      <c r="C45" s="158">
        <f>C20-C44</f>
        <v>0</v>
      </c>
      <c r="D45" s="158">
        <f>D20-D44</f>
        <v>0</v>
      </c>
      <c r="E45" s="158">
        <f>E20-E44</f>
        <v>0</v>
      </c>
    </row>
    <row r="46" spans="2:5" ht="15.75">
      <c r="B46" s="122" t="str">
        <f>CONCATENATE("",E1-2,"/",E1-1,"/",E1," Budget Authority Amount:")</f>
        <v>-2/-1/0 Budget Authority Amount:</v>
      </c>
      <c r="C46" s="478">
        <f>inputOth!B86</f>
        <v>0</v>
      </c>
      <c r="D46" s="478">
        <f>inputPrYr!D50</f>
        <v>0</v>
      </c>
      <c r="E46" s="376">
        <f>E44</f>
        <v>0</v>
      </c>
    </row>
    <row r="47" spans="2:5" ht="15.75">
      <c r="B47" s="93"/>
      <c r="C47" s="208">
        <f>IF(C44&gt;C46,"See Tab A","")</f>
      </c>
      <c r="D47" s="208">
        <f>IF(D44&gt;D46,"See Tab C","")</f>
      </c>
      <c r="E47" s="688">
        <f>IF(E45&lt;0,"See Tab E","")</f>
      </c>
    </row>
    <row r="48" spans="2:5" ht="15.75">
      <c r="B48" s="962" t="s">
        <v>999</v>
      </c>
      <c r="C48" s="849">
        <f>IF(C45&lt;0,"See Tab B","")</f>
      </c>
      <c r="D48" s="849">
        <f>IF(D45&lt;0,"See Tab D","")</f>
      </c>
      <c r="E48" s="857"/>
    </row>
    <row r="49" spans="2:5" ht="15.75">
      <c r="B49" s="851"/>
      <c r="C49" s="852"/>
      <c r="D49" s="852"/>
      <c r="E49" s="858"/>
    </row>
    <row r="50" spans="2:5" ht="15.75">
      <c r="B50" s="853"/>
      <c r="C50" s="854"/>
      <c r="D50" s="854"/>
      <c r="E50" s="859"/>
    </row>
    <row r="51" spans="2:5" ht="15">
      <c r="B51" s="66"/>
      <c r="C51" s="66"/>
      <c r="D51" s="66"/>
      <c r="E51" s="66"/>
    </row>
    <row r="52" spans="2:5" ht="15.75">
      <c r="B52" s="93" t="s">
        <v>42</v>
      </c>
      <c r="C52" s="711"/>
      <c r="D52" s="66"/>
      <c r="E52" s="66"/>
    </row>
  </sheetData>
  <sheetProtection/>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2">
    <cfRule type="cellIs" priority="6" dxfId="260" operator="greaterThan" stopIfTrue="1">
      <formula>$C$44*0.1</formula>
    </cfRule>
  </conditionalFormatting>
  <conditionalFormatting sqref="D42">
    <cfRule type="cellIs" priority="7" dxfId="260" operator="greaterThan" stopIfTrue="1">
      <formula>$D$44*0.1</formula>
    </cfRule>
  </conditionalFormatting>
  <conditionalFormatting sqref="E42">
    <cfRule type="cellIs" priority="8" dxfId="260" operator="greaterThan" stopIfTrue="1">
      <formula>$E$44*0.1</formula>
    </cfRule>
  </conditionalFormatting>
  <conditionalFormatting sqref="D44">
    <cfRule type="cellIs" priority="9" dxfId="0" operator="greaterThan" stopIfTrue="1">
      <formula>$D$46</formula>
    </cfRule>
  </conditionalFormatting>
  <conditionalFormatting sqref="C44">
    <cfRule type="cellIs" priority="10" dxfId="0" operator="greaterThan" stopIfTrue="1">
      <formula>$C$46</formula>
    </cfRule>
  </conditionalFormatting>
  <conditionalFormatting sqref="C45 E45">
    <cfRule type="cellIs" priority="11" dxfId="0" operator="lessThan" stopIfTrue="1">
      <formula>0</formula>
    </cfRule>
  </conditionalFormatting>
  <conditionalFormatting sqref="D45">
    <cfRule type="cellIs" priority="2" dxfId="1" operator="lessThan" stopIfTrue="1">
      <formula>0</formula>
    </cfRule>
  </conditionalFormatting>
  <conditionalFormatting sqref="E46">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0"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8"/>
  <sheetViews>
    <sheetView zoomScalePageLayoutView="0" workbookViewId="0" topLeftCell="A1">
      <selection activeCell="B92" sqref="B92"/>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16384" width="8.8984375" style="64" customWidth="1"/>
  </cols>
  <sheetData>
    <row r="1" spans="1:5" ht="15.75">
      <c r="A1" s="65">
        <f>inputPrYr!$D$3</f>
        <v>0</v>
      </c>
      <c r="B1" s="66"/>
      <c r="C1" s="66"/>
      <c r="D1" s="66"/>
      <c r="E1" s="67">
        <f>inputPrYr!C6</f>
        <v>0</v>
      </c>
    </row>
    <row r="2" spans="1:5" ht="15">
      <c r="A2" s="66"/>
      <c r="B2" s="66"/>
      <c r="C2" s="66"/>
      <c r="D2" s="66"/>
      <c r="E2" s="66"/>
    </row>
    <row r="3" spans="1:5" ht="15.75">
      <c r="A3" s="966" t="s">
        <v>964</v>
      </c>
      <c r="B3" s="967"/>
      <c r="C3" s="967"/>
      <c r="D3" s="967"/>
      <c r="E3" s="967"/>
    </row>
    <row r="4" spans="1:5" ht="15.75">
      <c r="A4" s="25"/>
      <c r="B4" s="25"/>
      <c r="C4" s="25"/>
      <c r="D4" s="25"/>
      <c r="E4" s="25"/>
    </row>
    <row r="5" spans="1:5" ht="15.75">
      <c r="A5" s="25"/>
      <c r="B5" s="25"/>
      <c r="C5" s="25"/>
      <c r="D5" s="25"/>
      <c r="E5" s="25"/>
    </row>
    <row r="6" spans="1:5" ht="15.75">
      <c r="A6" s="727" t="str">
        <f>CONCATENATE("From the County Clerk's ",E1," Budget Information:")</f>
        <v>From the County Clerk's 0 Budget Information:</v>
      </c>
      <c r="B6" s="728"/>
      <c r="C6" s="729"/>
      <c r="D6" s="16"/>
      <c r="E6" s="37"/>
    </row>
    <row r="7" spans="1:5" ht="15.75">
      <c r="A7" s="68" t="str">
        <f>CONCATENATE("Total Assessed Valuation for ",E1-1,"")</f>
        <v>Total Assessed Valuation for -1</v>
      </c>
      <c r="B7" s="57"/>
      <c r="C7" s="57"/>
      <c r="D7" s="57"/>
      <c r="E7" s="36"/>
    </row>
    <row r="8" spans="1:5" ht="15.75">
      <c r="A8" s="68" t="str">
        <f>CONCATENATE("New Improvements for ",E1-1,"")</f>
        <v>New Improvements for -1</v>
      </c>
      <c r="B8" s="57"/>
      <c r="C8" s="57"/>
      <c r="D8" s="57"/>
      <c r="E8" s="69"/>
    </row>
    <row r="9" spans="1:5" ht="15.75">
      <c r="A9" s="68" t="str">
        <f>CONCATENATE("Personal Property  - ",E1-1,"")</f>
        <v>Personal Property  - -1</v>
      </c>
      <c r="B9" s="57"/>
      <c r="C9" s="57"/>
      <c r="D9" s="57"/>
      <c r="E9" s="69"/>
    </row>
    <row r="10" spans="1:5" ht="15.75">
      <c r="A10" s="70" t="s">
        <v>145</v>
      </c>
      <c r="B10" s="57"/>
      <c r="C10" s="57"/>
      <c r="D10" s="57"/>
      <c r="E10" s="51"/>
    </row>
    <row r="11" spans="1:5" ht="15.75">
      <c r="A11" s="68" t="s">
        <v>128</v>
      </c>
      <c r="B11" s="57"/>
      <c r="C11" s="57"/>
      <c r="D11" s="57"/>
      <c r="E11" s="69"/>
    </row>
    <row r="12" spans="1:5" ht="15.75">
      <c r="A12" s="68" t="s">
        <v>129</v>
      </c>
      <c r="B12" s="57"/>
      <c r="C12" s="57"/>
      <c r="D12" s="57"/>
      <c r="E12" s="69"/>
    </row>
    <row r="13" spans="1:5" ht="15.75">
      <c r="A13" s="68" t="s">
        <v>130</v>
      </c>
      <c r="B13" s="57"/>
      <c r="C13" s="57"/>
      <c r="D13" s="57"/>
      <c r="E13" s="69"/>
    </row>
    <row r="14" spans="1:5" ht="15.75">
      <c r="A14" s="68" t="str">
        <f>CONCATENATE("Property that has changed in use for ",E1-1,"")</f>
        <v>Property that has changed in use for -1</v>
      </c>
      <c r="B14" s="57"/>
      <c r="C14" s="57"/>
      <c r="D14" s="57"/>
      <c r="E14" s="69"/>
    </row>
    <row r="15" spans="1:5" ht="15.75">
      <c r="A15" s="68" t="str">
        <f>CONCATENATE("Personal Property  - ",E1-2,"")</f>
        <v>Personal Property  - -2</v>
      </c>
      <c r="B15" s="57"/>
      <c r="C15" s="57"/>
      <c r="D15" s="57"/>
      <c r="E15" s="69"/>
    </row>
    <row r="16" spans="1:5" ht="15.75">
      <c r="A16" s="68" t="s">
        <v>1005</v>
      </c>
      <c r="B16" s="57"/>
      <c r="C16" s="57"/>
      <c r="D16" s="57"/>
      <c r="E16" s="69"/>
    </row>
    <row r="17" spans="1:5" ht="15.75">
      <c r="A17" s="68" t="str">
        <f>CONCATENATE("Gross earnings (intangible) tax estimate for ",E1,"")</f>
        <v>Gross earnings (intangible) tax estimate for 0</v>
      </c>
      <c r="B17" s="57"/>
      <c r="C17" s="57"/>
      <c r="D17" s="58"/>
      <c r="E17" s="36"/>
    </row>
    <row r="18" spans="1:5" ht="15.75">
      <c r="A18" s="68" t="s">
        <v>146</v>
      </c>
      <c r="B18" s="57"/>
      <c r="C18" s="57"/>
      <c r="D18" s="57"/>
      <c r="E18" s="35"/>
    </row>
    <row r="19" spans="1:5" ht="15.75">
      <c r="A19" s="47"/>
      <c r="B19" s="46"/>
      <c r="C19" s="46"/>
      <c r="D19" s="46"/>
      <c r="E19" s="49"/>
    </row>
    <row r="20" spans="1:5" ht="15.75">
      <c r="A20" s="47" t="str">
        <f>CONCATENATE("Actual Tax Rates for the ",E1-1," Budget:")</f>
        <v>Actual Tax Rates for the -1 Budget:</v>
      </c>
      <c r="B20" s="46"/>
      <c r="C20" s="46"/>
      <c r="D20" s="46"/>
      <c r="E20" s="44"/>
    </row>
    <row r="21" spans="1:5" ht="15.75">
      <c r="A21" s="979" t="s">
        <v>10</v>
      </c>
      <c r="B21" s="980"/>
      <c r="C21" s="71"/>
      <c r="D21" s="72" t="s">
        <v>64</v>
      </c>
      <c r="E21" s="44"/>
    </row>
    <row r="22" spans="1:5" ht="15.75">
      <c r="A22" s="40" t="str">
        <f>inputPrYr!B22</f>
        <v>General</v>
      </c>
      <c r="B22" s="41"/>
      <c r="C22" s="46"/>
      <c r="D22" s="730"/>
      <c r="E22" s="49"/>
    </row>
    <row r="23" spans="1:5" ht="15.75">
      <c r="A23" s="68" t="str">
        <f>inputPrYr!B23</f>
        <v>Debt Service</v>
      </c>
      <c r="B23" s="57"/>
      <c r="C23" s="46"/>
      <c r="D23" s="730"/>
      <c r="E23" s="49"/>
    </row>
    <row r="24" spans="1:5" ht="15.75">
      <c r="A24" s="68" t="str">
        <f>inputPrYr!B24</f>
        <v>Library</v>
      </c>
      <c r="B24" s="57"/>
      <c r="C24" s="46"/>
      <c r="D24" s="730"/>
      <c r="E24" s="49"/>
    </row>
    <row r="25" spans="1:5" ht="15.75">
      <c r="A25" s="68">
        <f>inputPrYr!B26</f>
        <v>0</v>
      </c>
      <c r="B25" s="57"/>
      <c r="C25" s="46"/>
      <c r="D25" s="730"/>
      <c r="E25" s="49"/>
    </row>
    <row r="26" spans="1:5" ht="15.75">
      <c r="A26" s="68">
        <f>inputPrYr!B27</f>
        <v>0</v>
      </c>
      <c r="B26" s="57"/>
      <c r="C26" s="46"/>
      <c r="D26" s="730"/>
      <c r="E26" s="49"/>
    </row>
    <row r="27" spans="1:5" ht="15.75">
      <c r="A27" s="68">
        <f>inputPrYr!B28</f>
        <v>0</v>
      </c>
      <c r="B27" s="73"/>
      <c r="C27" s="46"/>
      <c r="D27" s="731"/>
      <c r="E27" s="49"/>
    </row>
    <row r="28" spans="1:5" ht="15.75">
      <c r="A28" s="68">
        <f>inputPrYr!B29</f>
        <v>0</v>
      </c>
      <c r="B28" s="73"/>
      <c r="C28" s="46"/>
      <c r="D28" s="731"/>
      <c r="E28" s="49"/>
    </row>
    <row r="29" spans="1:5" ht="15.75">
      <c r="A29" s="68">
        <f>inputPrYr!B30</f>
        <v>0</v>
      </c>
      <c r="B29" s="73"/>
      <c r="C29" s="46"/>
      <c r="D29" s="731"/>
      <c r="E29" s="49"/>
    </row>
    <row r="30" spans="1:5" ht="15.75">
      <c r="A30" s="68">
        <f>inputPrYr!B31</f>
        <v>0</v>
      </c>
      <c r="B30" s="73"/>
      <c r="C30" s="46"/>
      <c r="D30" s="731"/>
      <c r="E30" s="49"/>
    </row>
    <row r="31" spans="1:5" ht="15.75">
      <c r="A31" s="68">
        <f>inputPrYr!B32</f>
        <v>0</v>
      </c>
      <c r="B31" s="73"/>
      <c r="C31" s="46"/>
      <c r="D31" s="731"/>
      <c r="E31" s="49"/>
    </row>
    <row r="32" spans="1:5" ht="15.75">
      <c r="A32" s="68">
        <f>inputPrYr!B33</f>
        <v>0</v>
      </c>
      <c r="B32" s="73"/>
      <c r="C32" s="46"/>
      <c r="D32" s="731"/>
      <c r="E32" s="49"/>
    </row>
    <row r="33" spans="1:5" ht="15.75">
      <c r="A33" s="68">
        <f>inputPrYr!B34</f>
        <v>0</v>
      </c>
      <c r="B33" s="57"/>
      <c r="C33" s="46"/>
      <c r="D33" s="731"/>
      <c r="E33" s="49"/>
    </row>
    <row r="34" spans="1:5" ht="15.75">
      <c r="A34" s="68">
        <f>inputPrYr!B35</f>
        <v>0</v>
      </c>
      <c r="B34" s="41"/>
      <c r="C34" s="46"/>
      <c r="D34" s="730"/>
      <c r="E34" s="49"/>
    </row>
    <row r="35" spans="1:5" ht="15.75">
      <c r="A35" s="71"/>
      <c r="B35" s="41" t="s">
        <v>301</v>
      </c>
      <c r="C35" s="74"/>
      <c r="D35" s="54">
        <f>SUM(D22:D34)</f>
        <v>0</v>
      </c>
      <c r="E35" s="71"/>
    </row>
    <row r="36" spans="1:5" ht="15">
      <c r="A36" s="71"/>
      <c r="B36" s="71"/>
      <c r="C36" s="71"/>
      <c r="D36" s="71"/>
      <c r="E36" s="71"/>
    </row>
    <row r="37" spans="1:5" ht="15.75">
      <c r="A37" s="41" t="str">
        <f>CONCATENATE("Final Assessed Valuation from the November 1, ",E1-2," Abstract")</f>
        <v>Final Assessed Valuation from the November 1, -2 Abstract</v>
      </c>
      <c r="B37" s="75"/>
      <c r="C37" s="75"/>
      <c r="D37" s="75"/>
      <c r="E37" s="35"/>
    </row>
    <row r="38" spans="1:5" ht="15">
      <c r="A38" s="71"/>
      <c r="B38" s="71"/>
      <c r="C38" s="71"/>
      <c r="D38" s="71"/>
      <c r="E38" s="71"/>
    </row>
    <row r="39" spans="1:5" ht="15.75">
      <c r="A39" s="717" t="str">
        <f>CONCATENATE("From the County Treasurer's Budget Information - ",E1," Budget Year Estimates:")</f>
        <v>From the County Treasurer's Budget Information - 0 Budget Year Estimates:</v>
      </c>
      <c r="B39" s="56"/>
      <c r="C39" s="56"/>
      <c r="D39" s="745"/>
      <c r="E39" s="37"/>
    </row>
    <row r="40" spans="1:5" ht="15.75">
      <c r="A40" s="40" t="s">
        <v>302</v>
      </c>
      <c r="B40" s="41"/>
      <c r="C40" s="41"/>
      <c r="D40" s="76"/>
      <c r="E40" s="36"/>
    </row>
    <row r="41" spans="1:5" ht="15.75">
      <c r="A41" s="68" t="s">
        <v>303</v>
      </c>
      <c r="B41" s="57"/>
      <c r="C41" s="57"/>
      <c r="D41" s="77"/>
      <c r="E41" s="36"/>
    </row>
    <row r="42" spans="1:5" ht="15.75">
      <c r="A42" s="68" t="s">
        <v>147</v>
      </c>
      <c r="B42" s="57"/>
      <c r="C42" s="57"/>
      <c r="D42" s="77"/>
      <c r="E42" s="36"/>
    </row>
    <row r="43" spans="1:5" ht="15.75">
      <c r="A43" s="68" t="s">
        <v>967</v>
      </c>
      <c r="B43" s="57"/>
      <c r="C43" s="57"/>
      <c r="D43" s="77"/>
      <c r="E43" s="36"/>
    </row>
    <row r="44" spans="1:5" ht="15.75">
      <c r="A44" s="68" t="s">
        <v>968</v>
      </c>
      <c r="B44" s="57"/>
      <c r="C44" s="57"/>
      <c r="D44" s="77"/>
      <c r="E44" s="36"/>
    </row>
    <row r="45" spans="1:5" ht="15.75">
      <c r="A45" s="68" t="s">
        <v>148</v>
      </c>
      <c r="B45" s="57"/>
      <c r="C45" s="57"/>
      <c r="D45" s="77"/>
      <c r="E45" s="36"/>
    </row>
    <row r="46" spans="1:5" ht="15.75">
      <c r="A46" s="68" t="s">
        <v>149</v>
      </c>
      <c r="B46" s="57"/>
      <c r="C46" s="57"/>
      <c r="D46" s="77"/>
      <c r="E46" s="36"/>
    </row>
    <row r="47" spans="1:5" ht="15.75">
      <c r="A47" s="16" t="s">
        <v>150</v>
      </c>
      <c r="B47" s="16"/>
      <c r="C47" s="16"/>
      <c r="D47" s="16"/>
      <c r="E47" s="16"/>
    </row>
    <row r="48" spans="1:5" ht="15.75">
      <c r="A48" s="18" t="s">
        <v>18</v>
      </c>
      <c r="B48" s="23"/>
      <c r="C48" s="23"/>
      <c r="D48" s="16"/>
      <c r="E48" s="16"/>
    </row>
    <row r="49" spans="1:5" ht="15.75">
      <c r="A49" s="47" t="str">
        <f>CONCATENATE("Actual Delinquency for ",E1-3," Tax - (e.g. rate .01213 = 1.213%;  key in 1.2)")</f>
        <v>Actual Delinquency for -3 Tax - (e.g. rate .01213 = 1.213%;  key in 1.2)</v>
      </c>
      <c r="B49" s="46"/>
      <c r="C49" s="16"/>
      <c r="D49" s="16"/>
      <c r="E49" s="16"/>
    </row>
    <row r="50" spans="1:5" ht="15.75">
      <c r="A50" s="340" t="s">
        <v>764</v>
      </c>
      <c r="B50" s="47"/>
      <c r="C50" s="46"/>
      <c r="D50" s="46"/>
      <c r="E50" s="547"/>
    </row>
    <row r="51" spans="1:5" ht="15.75">
      <c r="A51" s="78" t="s">
        <v>192</v>
      </c>
      <c r="B51" s="78"/>
      <c r="C51" s="79"/>
      <c r="D51" s="79"/>
      <c r="E51" s="80"/>
    </row>
    <row r="52" spans="1:5" ht="15.75">
      <c r="A52" s="16"/>
      <c r="B52" s="16"/>
      <c r="C52" s="16"/>
      <c r="D52" s="16"/>
      <c r="E52" s="16"/>
    </row>
    <row r="53" spans="1:5" ht="15.75">
      <c r="A53" s="733" t="s">
        <v>228</v>
      </c>
      <c r="B53" s="734"/>
      <c r="C53" s="735"/>
      <c r="D53" s="735"/>
      <c r="E53" s="736"/>
    </row>
    <row r="54" spans="1:5" ht="15.75">
      <c r="A54" s="81" t="str">
        <f>CONCATENATE("",E1," State Distribution for Kansas Gas Tax")</f>
        <v>0 State Distribution for Kansas Gas Tax</v>
      </c>
      <c r="B54" s="82"/>
      <c r="C54" s="82"/>
      <c r="D54" s="83"/>
      <c r="E54" s="732"/>
    </row>
    <row r="55" spans="1:5" ht="15.75">
      <c r="A55" s="84" t="str">
        <f>CONCATENATE("",E1," County Transfers for Gas***")</f>
        <v>0 County Transfers for Gas***</v>
      </c>
      <c r="B55" s="85"/>
      <c r="C55" s="85"/>
      <c r="D55" s="86"/>
      <c r="E55" s="35"/>
    </row>
    <row r="56" spans="1:5" ht="15.75">
      <c r="A56" s="84" t="str">
        <f>CONCATENATE("Adjusted ",E1-1," State Distribution for Kansas Gas Tax")</f>
        <v>Adjusted -1 State Distribution for Kansas Gas Tax</v>
      </c>
      <c r="B56" s="85"/>
      <c r="C56" s="85"/>
      <c r="D56" s="86"/>
      <c r="E56" s="35"/>
    </row>
    <row r="57" spans="1:5" ht="15.75">
      <c r="A57" s="84" t="str">
        <f>CONCATENATE("Adjusted ",E1-1," County Transfers for Gas***")</f>
        <v>Adjusted -1 County Transfers for Gas***</v>
      </c>
      <c r="B57" s="85"/>
      <c r="C57" s="85"/>
      <c r="D57" s="86"/>
      <c r="E57" s="35"/>
    </row>
    <row r="58" spans="1:5" ht="15">
      <c r="A58" s="981" t="s">
        <v>209</v>
      </c>
      <c r="B58" s="982"/>
      <c r="C58" s="982"/>
      <c r="D58" s="982"/>
      <c r="E58" s="982"/>
    </row>
    <row r="59" spans="1:5" ht="15">
      <c r="A59" s="87" t="s">
        <v>210</v>
      </c>
      <c r="B59" s="87"/>
      <c r="C59" s="87"/>
      <c r="D59" s="87"/>
      <c r="E59" s="87"/>
    </row>
    <row r="60" spans="1:5" ht="15">
      <c r="A60" s="66"/>
      <c r="B60" s="66"/>
      <c r="C60" s="66"/>
      <c r="D60" s="66"/>
      <c r="E60" s="66"/>
    </row>
    <row r="61" spans="1:5" ht="15.75">
      <c r="A61" s="983" t="str">
        <f>CONCATENATE("From the ",E1-2," Budget Certificate Page")</f>
        <v>From the -2 Budget Certificate Page</v>
      </c>
      <c r="B61" s="984"/>
      <c r="C61" s="66"/>
      <c r="D61" s="66"/>
      <c r="E61" s="66"/>
    </row>
    <row r="62" spans="1:5" ht="15.75">
      <c r="A62" s="88"/>
      <c r="B62" s="88" t="str">
        <f>CONCATENATE("",E1-2," Expenditure Amounts")</f>
        <v>-2 Expenditure Amounts</v>
      </c>
      <c r="C62" s="977" t="str">
        <f>CONCATENATE("Note: If the ",E1-2," budget was amended, then the")</f>
        <v>Note: If the -2 budget was amended, then the</v>
      </c>
      <c r="D62" s="978"/>
      <c r="E62" s="978"/>
    </row>
    <row r="63" spans="1:5" ht="15.75">
      <c r="A63" s="89" t="s">
        <v>232</v>
      </c>
      <c r="B63" s="89" t="s">
        <v>233</v>
      </c>
      <c r="C63" s="90" t="s">
        <v>234</v>
      </c>
      <c r="D63" s="91"/>
      <c r="E63" s="91"/>
    </row>
    <row r="64" spans="1:5" ht="15.75">
      <c r="A64" s="92" t="str">
        <f>inputPrYr!B22</f>
        <v>General</v>
      </c>
      <c r="B64" s="35"/>
      <c r="C64" s="90" t="s">
        <v>235</v>
      </c>
      <c r="D64" s="91"/>
      <c r="E64" s="91"/>
    </row>
    <row r="65" spans="1:5" ht="15.75">
      <c r="A65" s="92" t="str">
        <f>inputPrYr!B23</f>
        <v>Debt Service</v>
      </c>
      <c r="B65" s="35"/>
      <c r="C65" s="90"/>
      <c r="D65" s="91"/>
      <c r="E65" s="91"/>
    </row>
    <row r="66" spans="1:5" ht="15.75">
      <c r="A66" s="92" t="str">
        <f>inputPrYr!B24</f>
        <v>Library</v>
      </c>
      <c r="B66" s="35"/>
      <c r="C66" s="66"/>
      <c r="D66" s="66"/>
      <c r="E66" s="66"/>
    </row>
    <row r="67" spans="1:5" ht="15.75">
      <c r="A67" s="92">
        <f>inputPrYr!B26</f>
        <v>0</v>
      </c>
      <c r="B67" s="35"/>
      <c r="C67" s="66"/>
      <c r="D67" s="66"/>
      <c r="E67" s="66"/>
    </row>
    <row r="68" spans="1:5" ht="15.75">
      <c r="A68" s="92">
        <f>inputPrYr!B27</f>
        <v>0</v>
      </c>
      <c r="B68" s="35"/>
      <c r="C68" s="66"/>
      <c r="D68" s="66"/>
      <c r="E68" s="66"/>
    </row>
    <row r="69" spans="1:5" ht="15.75">
      <c r="A69" s="92">
        <f>inputPrYr!B28</f>
        <v>0</v>
      </c>
      <c r="B69" s="35"/>
      <c r="C69" s="66"/>
      <c r="D69" s="66"/>
      <c r="E69" s="66"/>
    </row>
    <row r="70" spans="1:5" ht="15.75">
      <c r="A70" s="92">
        <f>inputPrYr!B29</f>
        <v>0</v>
      </c>
      <c r="B70" s="35"/>
      <c r="C70" s="66"/>
      <c r="D70" s="66"/>
      <c r="E70" s="66"/>
    </row>
    <row r="71" spans="1:5" ht="15.75">
      <c r="A71" s="92">
        <f>inputPrYr!B30</f>
        <v>0</v>
      </c>
      <c r="B71" s="35"/>
      <c r="C71" s="66"/>
      <c r="D71" s="66"/>
      <c r="E71" s="66"/>
    </row>
    <row r="72" spans="1:5" ht="15.75">
      <c r="A72" s="92">
        <f>inputPrYr!B31</f>
        <v>0</v>
      </c>
      <c r="B72" s="35"/>
      <c r="C72" s="66"/>
      <c r="D72" s="66"/>
      <c r="E72" s="66"/>
    </row>
    <row r="73" spans="1:5" ht="15.75">
      <c r="A73" s="92">
        <f>inputPrYr!B32</f>
        <v>0</v>
      </c>
      <c r="B73" s="35"/>
      <c r="C73" s="66"/>
      <c r="D73" s="66"/>
      <c r="E73" s="66"/>
    </row>
    <row r="74" spans="1:5" ht="15.75">
      <c r="A74" s="92">
        <f>inputPrYr!B33</f>
        <v>0</v>
      </c>
      <c r="B74" s="35"/>
      <c r="C74" s="66"/>
      <c r="D74" s="66"/>
      <c r="E74" s="66"/>
    </row>
    <row r="75" spans="1:5" ht="15.75">
      <c r="A75" s="92">
        <f>inputPrYr!B34</f>
        <v>0</v>
      </c>
      <c r="B75" s="35"/>
      <c r="C75" s="66"/>
      <c r="D75" s="66"/>
      <c r="E75" s="66"/>
    </row>
    <row r="76" spans="1:5" ht="15.75">
      <c r="A76" s="92">
        <f>inputPrYr!B35</f>
        <v>0</v>
      </c>
      <c r="B76" s="35"/>
      <c r="C76" s="66"/>
      <c r="D76" s="66"/>
      <c r="E76" s="66"/>
    </row>
    <row r="77" spans="1:5" ht="15.75">
      <c r="A77" s="92" t="str">
        <f>inputPrYr!B39</f>
        <v>Special Highway</v>
      </c>
      <c r="B77" s="35"/>
      <c r="C77" s="66"/>
      <c r="D77" s="66"/>
      <c r="E77" s="66"/>
    </row>
    <row r="78" spans="1:5" ht="15.75">
      <c r="A78" s="92">
        <f>inputPrYr!B40</f>
        <v>0</v>
      </c>
      <c r="B78" s="35"/>
      <c r="C78" s="66"/>
      <c r="D78" s="66"/>
      <c r="E78" s="66"/>
    </row>
    <row r="79" spans="1:5" ht="15.75">
      <c r="A79" s="92">
        <f>inputPrYr!B41</f>
        <v>0</v>
      </c>
      <c r="B79" s="35"/>
      <c r="C79" s="66"/>
      <c r="D79" s="66"/>
      <c r="E79" s="66"/>
    </row>
    <row r="80" spans="1:5" ht="15.75">
      <c r="A80" s="92">
        <f>inputPrYr!B42</f>
        <v>0</v>
      </c>
      <c r="B80" s="35"/>
      <c r="C80" s="66"/>
      <c r="D80" s="66"/>
      <c r="E80" s="66"/>
    </row>
    <row r="81" spans="1:5" ht="15.75">
      <c r="A81" s="92">
        <f>inputPrYr!B43</f>
        <v>0</v>
      </c>
      <c r="B81" s="35"/>
      <c r="C81" s="66"/>
      <c r="D81" s="66"/>
      <c r="E81" s="66"/>
    </row>
    <row r="82" spans="1:5" ht="15.75">
      <c r="A82" s="92">
        <f>inputPrYr!B44</f>
        <v>0</v>
      </c>
      <c r="B82" s="35"/>
      <c r="C82" s="66"/>
      <c r="D82" s="66"/>
      <c r="E82" s="66"/>
    </row>
    <row r="83" spans="1:5" ht="15.75">
      <c r="A83" s="92">
        <f>inputPrYr!B45</f>
        <v>0</v>
      </c>
      <c r="B83" s="35"/>
      <c r="C83" s="66"/>
      <c r="D83" s="66"/>
      <c r="E83" s="66"/>
    </row>
    <row r="84" spans="1:5" ht="15.75">
      <c r="A84" s="92">
        <f>inputPrYr!B46</f>
        <v>0</v>
      </c>
      <c r="B84" s="35"/>
      <c r="C84" s="66"/>
      <c r="D84" s="66"/>
      <c r="E84" s="66"/>
    </row>
    <row r="85" spans="1:5" ht="15.75">
      <c r="A85" s="92">
        <f>inputPrYr!B49</f>
        <v>0</v>
      </c>
      <c r="B85" s="35"/>
      <c r="C85" s="66"/>
      <c r="D85" s="66"/>
      <c r="E85" s="66"/>
    </row>
    <row r="86" spans="1:5" ht="15.75">
      <c r="A86" s="92">
        <f>inputPrYr!B50</f>
        <v>0</v>
      </c>
      <c r="B86" s="35"/>
      <c r="C86" s="66"/>
      <c r="D86" s="66"/>
      <c r="E86" s="66"/>
    </row>
    <row r="87" spans="1:5" ht="15.75">
      <c r="A87" s="92">
        <f>inputPrYr!B51</f>
        <v>0</v>
      </c>
      <c r="B87" s="35"/>
      <c r="C87" s="66"/>
      <c r="D87" s="66"/>
      <c r="E87" s="66"/>
    </row>
    <row r="88" spans="1:5" ht="15.75">
      <c r="A88" s="92">
        <f>inputPrYr!B52</f>
        <v>0</v>
      </c>
      <c r="B88" s="35"/>
      <c r="C88" s="66"/>
      <c r="D88" s="66"/>
      <c r="E88" s="66"/>
    </row>
  </sheetData>
  <sheetProtection/>
  <mergeCells count="5">
    <mergeCell ref="C62:E62"/>
    <mergeCell ref="A21:B21"/>
    <mergeCell ref="A58:E58"/>
    <mergeCell ref="A3:E3"/>
    <mergeCell ref="A61:B61"/>
  </mergeCells>
  <printOptions/>
  <pageMargins left="0.75" right="0.75" top="1" bottom="1" header="0.5" footer="0.5"/>
  <pageSetup blackAndWhite="1" fitToHeight="1" fitToWidth="1" horizontalDpi="600" verticalDpi="600" orientation="portrait" scale="51"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62" sqref="C62"/>
    </sheetView>
  </sheetViews>
  <sheetFormatPr defaultColWidth="8.796875" defaultRowHeight="15"/>
  <cols>
    <col min="1" max="1" width="2.3984375" style="64" customWidth="1"/>
    <col min="2" max="2" width="31.09765625" style="64" customWidth="1"/>
    <col min="3" max="4" width="15.796875" style="64" customWidth="1"/>
    <col min="5" max="5" width="16.3984375" style="64" customWidth="1"/>
    <col min="6" max="16384" width="8.8984375" style="64" customWidth="1"/>
  </cols>
  <sheetData>
    <row r="1" spans="2:5" ht="15.75">
      <c r="B1" s="124">
        <f>inputPrYr!D3</f>
        <v>0</v>
      </c>
      <c r="C1" s="16"/>
      <c r="D1" s="16"/>
      <c r="E1" s="150">
        <f>inputPrYr!$C$6</f>
        <v>0</v>
      </c>
    </row>
    <row r="2" spans="2:5" ht="15.75">
      <c r="B2" s="16"/>
      <c r="C2" s="16"/>
      <c r="D2" s="16"/>
      <c r="E2" s="120"/>
    </row>
    <row r="3" spans="2:5" ht="15.75">
      <c r="B3" s="27" t="s">
        <v>92</v>
      </c>
      <c r="C3" s="228"/>
      <c r="D3" s="228"/>
      <c r="E3" s="229"/>
    </row>
    <row r="4" spans="2:5" ht="15.75">
      <c r="B4" s="19" t="s">
        <v>23</v>
      </c>
      <c r="C4" s="592" t="s">
        <v>758</v>
      </c>
      <c r="D4" s="593" t="s">
        <v>759</v>
      </c>
      <c r="E4" s="99" t="s">
        <v>760</v>
      </c>
    </row>
    <row r="5" spans="2:5" ht="15.75">
      <c r="B5" s="331">
        <f>inputPrYr!B51</f>
        <v>0</v>
      </c>
      <c r="C5" s="314" t="str">
        <f>CONCATENATE("Actual for ",E1-2,"")</f>
        <v>Actual for -2</v>
      </c>
      <c r="D5" s="314" t="str">
        <f>CONCATENATE("Estimate for ",E1-1,"")</f>
        <v>Estimate for -1</v>
      </c>
      <c r="E5" s="187" t="str">
        <f>CONCATENATE("Year for ",E1,"")</f>
        <v>Year for 0</v>
      </c>
    </row>
    <row r="6" spans="2:5" ht="15.75">
      <c r="B6" s="105" t="s">
        <v>133</v>
      </c>
      <c r="C6" s="36"/>
      <c r="D6" s="158">
        <f>C46</f>
        <v>0</v>
      </c>
      <c r="E6" s="158">
        <f>D46</f>
        <v>0</v>
      </c>
    </row>
    <row r="7" spans="2:5" ht="15.75">
      <c r="B7" s="105" t="s">
        <v>135</v>
      </c>
      <c r="C7" s="51"/>
      <c r="D7" s="51"/>
      <c r="E7" s="51"/>
    </row>
    <row r="8" spans="2:5" ht="15.75">
      <c r="B8" s="226"/>
      <c r="C8" s="195"/>
      <c r="D8" s="195"/>
      <c r="E8" s="195"/>
    </row>
    <row r="9" spans="2:5" ht="15.75">
      <c r="B9" s="204"/>
      <c r="C9" s="195"/>
      <c r="D9" s="195"/>
      <c r="E9" s="195"/>
    </row>
    <row r="10" spans="2:5" ht="15.75">
      <c r="B10" s="204"/>
      <c r="C10" s="195"/>
      <c r="D10" s="195"/>
      <c r="E10" s="195"/>
    </row>
    <row r="11" spans="2:5" ht="15.75">
      <c r="B11" s="204"/>
      <c r="C11" s="195"/>
      <c r="D11" s="195"/>
      <c r="E11" s="195"/>
    </row>
    <row r="12" spans="2:5" ht="15.75">
      <c r="B12" s="204"/>
      <c r="C12" s="195"/>
      <c r="D12" s="195"/>
      <c r="E12" s="195"/>
    </row>
    <row r="13" spans="2:5" ht="15.75">
      <c r="B13" s="204"/>
      <c r="C13" s="195"/>
      <c r="D13" s="195"/>
      <c r="E13" s="195"/>
    </row>
    <row r="14" spans="2:5" ht="15.75">
      <c r="B14" s="225"/>
      <c r="C14" s="69"/>
      <c r="D14" s="69"/>
      <c r="E14" s="69"/>
    </row>
    <row r="15" spans="2:5" ht="15.75">
      <c r="B15" s="204"/>
      <c r="C15" s="195"/>
      <c r="D15" s="195"/>
      <c r="E15" s="195"/>
    </row>
    <row r="16" spans="2:5" ht="15.75">
      <c r="B16" s="230" t="s">
        <v>31</v>
      </c>
      <c r="C16" s="195"/>
      <c r="D16" s="195"/>
      <c r="E16" s="195"/>
    </row>
    <row r="17" spans="2:5" ht="15.75">
      <c r="B17" s="113" t="s">
        <v>236</v>
      </c>
      <c r="C17" s="195"/>
      <c r="D17" s="193"/>
      <c r="E17" s="193"/>
    </row>
    <row r="18" spans="2:5" ht="15.75">
      <c r="B18" s="188" t="s">
        <v>746</v>
      </c>
      <c r="C18" s="332">
        <f>IF(C19*0.1&lt;C17,"Exceed 10% Rule","")</f>
      </c>
      <c r="D18" s="218">
        <f>IF(D19*0.1&lt;D17,"Exceed 10% Rule","")</f>
      </c>
      <c r="E18" s="218">
        <f>IF(E19*0.1&lt;E17,"Exceed 10% Rule","")</f>
      </c>
    </row>
    <row r="19" spans="2:5" ht="15.75">
      <c r="B19" s="198" t="s">
        <v>32</v>
      </c>
      <c r="C19" s="222">
        <f>SUM(C8:C17)</f>
        <v>0</v>
      </c>
      <c r="D19" s="222">
        <f>SUM(D8:D17)</f>
        <v>0</v>
      </c>
      <c r="E19" s="222">
        <f>SUM(E8:E17)</f>
        <v>0</v>
      </c>
    </row>
    <row r="20" spans="2:5" ht="15.75">
      <c r="B20" s="198" t="s">
        <v>33</v>
      </c>
      <c r="C20" s="222">
        <f>C6+C19</f>
        <v>0</v>
      </c>
      <c r="D20" s="222">
        <f>D6+D19</f>
        <v>0</v>
      </c>
      <c r="E20" s="222">
        <f>E6+E19</f>
        <v>0</v>
      </c>
    </row>
    <row r="21" spans="2:5" ht="15.75">
      <c r="B21" s="105" t="s">
        <v>35</v>
      </c>
      <c r="C21" s="51"/>
      <c r="D21" s="51"/>
      <c r="E21" s="51"/>
    </row>
    <row r="22" spans="2:5" ht="15.75">
      <c r="B22" s="204" t="s">
        <v>159</v>
      </c>
      <c r="C22" s="195"/>
      <c r="D22" s="195"/>
      <c r="E22" s="195"/>
    </row>
    <row r="23" spans="2:5" ht="15.75">
      <c r="B23" s="204" t="s">
        <v>246</v>
      </c>
      <c r="C23" s="195"/>
      <c r="D23" s="195"/>
      <c r="E23" s="195"/>
    </row>
    <row r="24" spans="2:5" ht="15.75">
      <c r="B24" s="204"/>
      <c r="C24" s="69"/>
      <c r="D24" s="69"/>
      <c r="E24" s="69"/>
    </row>
    <row r="25" spans="2:5" ht="15.75">
      <c r="B25" s="204"/>
      <c r="C25" s="69"/>
      <c r="D25" s="69"/>
      <c r="E25" s="69"/>
    </row>
    <row r="26" spans="2:5" ht="15.75">
      <c r="B26" s="204"/>
      <c r="C26" s="69"/>
      <c r="D26" s="69"/>
      <c r="E26" s="69"/>
    </row>
    <row r="27" spans="2:5" ht="15.75">
      <c r="B27" s="204"/>
      <c r="C27" s="69"/>
      <c r="D27" s="69"/>
      <c r="E27" s="69"/>
    </row>
    <row r="28" spans="2:5" ht="15.75">
      <c r="B28" s="204"/>
      <c r="C28" s="69"/>
      <c r="D28" s="69"/>
      <c r="E28" s="69"/>
    </row>
    <row r="29" spans="2:5" ht="15.75">
      <c r="B29" s="204"/>
      <c r="C29" s="69"/>
      <c r="D29" s="69"/>
      <c r="E29" s="69"/>
    </row>
    <row r="30" spans="2:5" ht="15.75">
      <c r="B30" s="204"/>
      <c r="C30" s="69"/>
      <c r="D30" s="69"/>
      <c r="E30" s="69"/>
    </row>
    <row r="31" spans="2:5" ht="15.75">
      <c r="B31" s="204"/>
      <c r="C31" s="69"/>
      <c r="D31" s="69"/>
      <c r="E31" s="69"/>
    </row>
    <row r="32" spans="2:5" ht="15.75">
      <c r="B32" s="204"/>
      <c r="C32" s="69"/>
      <c r="D32" s="69"/>
      <c r="E32" s="69"/>
    </row>
    <row r="33" spans="2:5" ht="15.75">
      <c r="B33" s="204"/>
      <c r="C33" s="195"/>
      <c r="D33" s="195"/>
      <c r="E33" s="195"/>
    </row>
    <row r="34" spans="2:5" ht="15.75">
      <c r="B34" s="204"/>
      <c r="C34" s="195"/>
      <c r="D34" s="195"/>
      <c r="E34" s="195"/>
    </row>
    <row r="35" spans="2:5" ht="15.75">
      <c r="B35" s="204"/>
      <c r="C35" s="195"/>
      <c r="D35" s="195"/>
      <c r="E35" s="195"/>
    </row>
    <row r="36" spans="2:5" ht="15.75">
      <c r="B36" s="204"/>
      <c r="C36" s="195"/>
      <c r="D36" s="195"/>
      <c r="E36" s="195"/>
    </row>
    <row r="37" spans="2:5" ht="15.75">
      <c r="B37" s="204"/>
      <c r="C37" s="195"/>
      <c r="D37" s="195"/>
      <c r="E37" s="195"/>
    </row>
    <row r="38" spans="2:5" ht="15.75">
      <c r="B38" s="204"/>
      <c r="C38" s="195"/>
      <c r="D38" s="195"/>
      <c r="E38" s="195"/>
    </row>
    <row r="39" spans="2:5" ht="15.75">
      <c r="B39" s="204"/>
      <c r="C39" s="195"/>
      <c r="D39" s="195"/>
      <c r="E39" s="195"/>
    </row>
    <row r="40" spans="2:5" ht="15.75">
      <c r="B40" s="204"/>
      <c r="C40" s="195"/>
      <c r="D40" s="195"/>
      <c r="E40" s="195"/>
    </row>
    <row r="41" spans="2:5" ht="15.75">
      <c r="B41" s="204"/>
      <c r="C41" s="195"/>
      <c r="D41" s="195"/>
      <c r="E41" s="195"/>
    </row>
    <row r="42" spans="2:5" ht="15.75">
      <c r="B42" s="205" t="str">
        <f>CONCATENATE("Cash Forward (",E1," column)")</f>
        <v>Cash Forward (0 column)</v>
      </c>
      <c r="C42" s="195"/>
      <c r="D42" s="195"/>
      <c r="E42" s="195"/>
    </row>
    <row r="43" spans="2:5" ht="15.75">
      <c r="B43" s="205" t="s">
        <v>236</v>
      </c>
      <c r="C43" s="195"/>
      <c r="D43" s="193"/>
      <c r="E43" s="193"/>
    </row>
    <row r="44" spans="2:5" ht="15.75">
      <c r="B44" s="205" t="s">
        <v>747</v>
      </c>
      <c r="C44" s="332">
        <f>IF(C45*0.1&lt;C43,"Exceed 10% Rule","")</f>
      </c>
      <c r="D44" s="218">
        <f>IF(D45*0.1&lt;D43,"Exceed 10% Rule","")</f>
      </c>
      <c r="E44" s="218">
        <f>IF(E45*0.1&lt;E43,"Exceed 10% Rule","")</f>
      </c>
    </row>
    <row r="45" spans="2:5" ht="15.75">
      <c r="B45" s="198" t="s">
        <v>39</v>
      </c>
      <c r="C45" s="222">
        <f>SUM(C22:C43)</f>
        <v>0</v>
      </c>
      <c r="D45" s="222">
        <f>SUM(D22:D43)</f>
        <v>0</v>
      </c>
      <c r="E45" s="222">
        <f>SUM(E22:E43)</f>
        <v>0</v>
      </c>
    </row>
    <row r="46" spans="2:5" ht="15.75">
      <c r="B46" s="105" t="s">
        <v>134</v>
      </c>
      <c r="C46" s="158">
        <f>C20-C45</f>
        <v>0</v>
      </c>
      <c r="D46" s="158">
        <f>D20-D45</f>
        <v>0</v>
      </c>
      <c r="E46" s="158">
        <f>E20-E45</f>
        <v>0</v>
      </c>
    </row>
    <row r="47" spans="2:5" ht="15.75">
      <c r="B47" s="122" t="str">
        <f>CONCATENATE("",E1-2,"/",E1-1,"/",E1," Budget Authority Amount:")</f>
        <v>-2/-1/0 Budget Authority Amount:</v>
      </c>
      <c r="C47" s="478">
        <f>inputOth!B87</f>
        <v>0</v>
      </c>
      <c r="D47" s="478">
        <f>inputPrYr!D51</f>
        <v>0</v>
      </c>
      <c r="E47" s="376">
        <f>E45</f>
        <v>0</v>
      </c>
    </row>
    <row r="48" spans="2:5" ht="15.75">
      <c r="B48" s="93"/>
      <c r="C48" s="208">
        <f>IF(C45&gt;C47,"See Tab A","")</f>
      </c>
      <c r="D48" s="208">
        <f>IF(D45&gt;D47,"See Tab C","")</f>
      </c>
      <c r="E48" s="688">
        <f>IF(E46&lt;0,"See Tab E","")</f>
      </c>
    </row>
    <row r="49" spans="2:5" ht="15.75">
      <c r="B49" s="962" t="s">
        <v>999</v>
      </c>
      <c r="C49" s="849"/>
      <c r="D49" s="849"/>
      <c r="E49" s="850"/>
    </row>
    <row r="50" spans="2:5" ht="15.75">
      <c r="B50" s="851"/>
      <c r="C50" s="852">
        <f>IF(C46&lt;0,"See Tab B","")</f>
      </c>
      <c r="D50" s="852">
        <f>IF(D46&lt;0,"See Tab D","")</f>
      </c>
      <c r="E50" s="860"/>
    </row>
    <row r="51" spans="2:5" ht="15.75">
      <c r="B51" s="853"/>
      <c r="C51" s="854"/>
      <c r="D51" s="854"/>
      <c r="E51" s="83"/>
    </row>
    <row r="52" spans="2:5" ht="15">
      <c r="B52" s="66"/>
      <c r="C52" s="66"/>
      <c r="D52" s="66"/>
      <c r="E52" s="66"/>
    </row>
    <row r="53" spans="2:5" ht="15.75">
      <c r="B53" s="93" t="s">
        <v>42</v>
      </c>
      <c r="C53" s="711"/>
      <c r="D53" s="66"/>
      <c r="E53" s="66"/>
    </row>
  </sheetData>
  <sheetProtection/>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3">
    <cfRule type="cellIs" priority="6" dxfId="260" operator="greaterThan" stopIfTrue="1">
      <formula>$C$45*0.1</formula>
    </cfRule>
  </conditionalFormatting>
  <conditionalFormatting sqref="D43">
    <cfRule type="cellIs" priority="7" dxfId="260" operator="greaterThan" stopIfTrue="1">
      <formula>$D$45*0.1</formula>
    </cfRule>
  </conditionalFormatting>
  <conditionalFormatting sqref="E43">
    <cfRule type="cellIs" priority="8" dxfId="260" operator="greaterThan" stopIfTrue="1">
      <formula>$E$45*0.1</formula>
    </cfRule>
  </conditionalFormatting>
  <conditionalFormatting sqref="E46 C46">
    <cfRule type="cellIs" priority="9" dxfId="0" operator="lessThan" stopIfTrue="1">
      <formula>0</formula>
    </cfRule>
  </conditionalFormatting>
  <conditionalFormatting sqref="D45">
    <cfRule type="cellIs" priority="10" dxfId="0" operator="greaterThan" stopIfTrue="1">
      <formula>$D$47</formula>
    </cfRule>
  </conditionalFormatting>
  <conditionalFormatting sqref="C45">
    <cfRule type="cellIs" priority="11" dxfId="0" operator="greaterThan" stopIfTrue="1">
      <formula>$C$47</formula>
    </cfRule>
  </conditionalFormatting>
  <conditionalFormatting sqref="D46">
    <cfRule type="cellIs" priority="2" dxfId="1" operator="lessThan" stopIfTrue="1">
      <formula>0</formula>
    </cfRule>
  </conditionalFormatting>
  <conditionalFormatting sqref="E47">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2"/>
  <sheetViews>
    <sheetView zoomScalePageLayoutView="0" workbookViewId="0" topLeftCell="A1">
      <selection activeCell="B65" sqref="B65"/>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124">
        <f>inputPrYr!D3</f>
        <v>0</v>
      </c>
      <c r="C1" s="16"/>
      <c r="D1" s="16"/>
      <c r="E1" s="150">
        <f>inputPrYr!$C$6</f>
        <v>0</v>
      </c>
    </row>
    <row r="2" spans="2:5" ht="15.75">
      <c r="B2" s="16"/>
      <c r="C2" s="16"/>
      <c r="D2" s="16"/>
      <c r="E2" s="120"/>
    </row>
    <row r="3" spans="2:5" ht="15.75">
      <c r="B3" s="27" t="s">
        <v>92</v>
      </c>
      <c r="C3" s="228"/>
      <c r="D3" s="228"/>
      <c r="E3" s="229"/>
    </row>
    <row r="4" spans="2:5" ht="15.75">
      <c r="B4" s="19" t="s">
        <v>23</v>
      </c>
      <c r="C4" s="592" t="s">
        <v>758</v>
      </c>
      <c r="D4" s="593" t="s">
        <v>759</v>
      </c>
      <c r="E4" s="99" t="s">
        <v>760</v>
      </c>
    </row>
    <row r="5" spans="2:5" ht="15.75">
      <c r="B5" s="330">
        <f>inputPrYr!B52</f>
        <v>0</v>
      </c>
      <c r="C5" s="314" t="str">
        <f>CONCATENATE("Actual for ",E1-2,"")</f>
        <v>Actual for -2</v>
      </c>
      <c r="D5" s="314" t="str">
        <f>CONCATENATE("Estimate for ",E1-1,"")</f>
        <v>Estimate for -1</v>
      </c>
      <c r="E5" s="187" t="str">
        <f>CONCATENATE("Year for ",E1,"")</f>
        <v>Year for 0</v>
      </c>
    </row>
    <row r="6" spans="2:5" ht="15.75">
      <c r="B6" s="105" t="s">
        <v>133</v>
      </c>
      <c r="C6" s="36"/>
      <c r="D6" s="158">
        <f>C45</f>
        <v>0</v>
      </c>
      <c r="E6" s="158">
        <f>D45</f>
        <v>0</v>
      </c>
    </row>
    <row r="7" spans="2:5" ht="15.75">
      <c r="B7" s="105" t="s">
        <v>135</v>
      </c>
      <c r="C7" s="51"/>
      <c r="D7" s="51"/>
      <c r="E7" s="51"/>
    </row>
    <row r="8" spans="2:5" ht="15.75">
      <c r="B8" s="226"/>
      <c r="C8" s="195"/>
      <c r="D8" s="195"/>
      <c r="E8" s="195"/>
    </row>
    <row r="9" spans="2:5" ht="15.75">
      <c r="B9" s="204"/>
      <c r="C9" s="195"/>
      <c r="D9" s="195"/>
      <c r="E9" s="195"/>
    </row>
    <row r="10" spans="2:5" ht="15.75">
      <c r="B10" s="204"/>
      <c r="C10" s="195"/>
      <c r="D10" s="195"/>
      <c r="E10" s="195"/>
    </row>
    <row r="11" spans="2:5" ht="15.75">
      <c r="B11" s="204"/>
      <c r="C11" s="195"/>
      <c r="D11" s="195"/>
      <c r="E11" s="195"/>
    </row>
    <row r="12" spans="2:5" ht="15.75">
      <c r="B12" s="204"/>
      <c r="C12" s="195"/>
      <c r="D12" s="195"/>
      <c r="E12" s="195"/>
    </row>
    <row r="13" spans="2:5" ht="15.75">
      <c r="B13" s="204"/>
      <c r="C13" s="195"/>
      <c r="D13" s="195"/>
      <c r="E13" s="195"/>
    </row>
    <row r="14" spans="2:5" ht="15.75">
      <c r="B14" s="225"/>
      <c r="C14" s="69"/>
      <c r="D14" s="69"/>
      <c r="E14" s="69"/>
    </row>
    <row r="15" spans="2:5" ht="15.75">
      <c r="B15" s="204"/>
      <c r="C15" s="195"/>
      <c r="D15" s="195"/>
      <c r="E15" s="195"/>
    </row>
    <row r="16" spans="2:5" ht="15.75">
      <c r="B16" s="230" t="s">
        <v>31</v>
      </c>
      <c r="C16" s="195"/>
      <c r="D16" s="195"/>
      <c r="E16" s="195"/>
    </row>
    <row r="17" spans="2:5" ht="15.75">
      <c r="B17" s="113" t="s">
        <v>236</v>
      </c>
      <c r="C17" s="195"/>
      <c r="D17" s="193"/>
      <c r="E17" s="193"/>
    </row>
    <row r="18" spans="2:5" ht="15.75">
      <c r="B18" s="188" t="s">
        <v>746</v>
      </c>
      <c r="C18" s="332">
        <f>IF(C19*0.1&lt;C17,"Exceed 10% Rule","")</f>
      </c>
      <c r="D18" s="218">
        <f>IF(D19*0.1&lt;D17,"Exceed 10% Rule","")</f>
      </c>
      <c r="E18" s="218">
        <f>IF(E19*0.1&lt;E17,"Exceed 10% Rule","")</f>
      </c>
    </row>
    <row r="19" spans="2:5" ht="15.75">
      <c r="B19" s="198" t="s">
        <v>32</v>
      </c>
      <c r="C19" s="222">
        <f>SUM(C8:C17)</f>
        <v>0</v>
      </c>
      <c r="D19" s="222">
        <f>SUM(D8:D17)</f>
        <v>0</v>
      </c>
      <c r="E19" s="222">
        <f>SUM(E8:E17)</f>
        <v>0</v>
      </c>
    </row>
    <row r="20" spans="2:5" ht="15.75">
      <c r="B20" s="198" t="s">
        <v>33</v>
      </c>
      <c r="C20" s="222">
        <f>C6+C19</f>
        <v>0</v>
      </c>
      <c r="D20" s="222">
        <f>D6+D19</f>
        <v>0</v>
      </c>
      <c r="E20" s="222">
        <f>E6+E19</f>
        <v>0</v>
      </c>
    </row>
    <row r="21" spans="2:5" ht="15.75">
      <c r="B21" s="105" t="s">
        <v>35</v>
      </c>
      <c r="C21" s="51"/>
      <c r="D21" s="51"/>
      <c r="E21" s="51"/>
    </row>
    <row r="22" spans="2:5" ht="15.75">
      <c r="B22" s="204" t="s">
        <v>159</v>
      </c>
      <c r="C22" s="195"/>
      <c r="D22" s="195"/>
      <c r="E22" s="195"/>
    </row>
    <row r="23" spans="2:5" ht="15.75">
      <c r="B23" s="226" t="s">
        <v>246</v>
      </c>
      <c r="C23" s="195"/>
      <c r="D23" s="195"/>
      <c r="E23" s="195"/>
    </row>
    <row r="24" spans="2:5" ht="15.75">
      <c r="B24" s="204"/>
      <c r="C24" s="69"/>
      <c r="D24" s="69"/>
      <c r="E24" s="69"/>
    </row>
    <row r="25" spans="2:5" ht="15.75">
      <c r="B25" s="204"/>
      <c r="C25" s="69"/>
      <c r="D25" s="69"/>
      <c r="E25" s="69"/>
    </row>
    <row r="26" spans="2:5" ht="15.75">
      <c r="B26" s="204"/>
      <c r="C26" s="69"/>
      <c r="D26" s="69"/>
      <c r="E26" s="69"/>
    </row>
    <row r="27" spans="2:5" ht="15.75">
      <c r="B27" s="204"/>
      <c r="C27" s="69"/>
      <c r="D27" s="69"/>
      <c r="E27" s="69"/>
    </row>
    <row r="28" spans="2:5" ht="15.75">
      <c r="B28" s="204"/>
      <c r="C28" s="69"/>
      <c r="D28" s="69"/>
      <c r="E28" s="69"/>
    </row>
    <row r="29" spans="2:5" ht="15.75">
      <c r="B29" s="204"/>
      <c r="C29" s="69"/>
      <c r="D29" s="69"/>
      <c r="E29" s="69"/>
    </row>
    <row r="30" spans="2:5" ht="15.75">
      <c r="B30" s="204"/>
      <c r="C30" s="69"/>
      <c r="D30" s="69"/>
      <c r="E30" s="69"/>
    </row>
    <row r="31" spans="2:5" ht="15.75">
      <c r="B31" s="204"/>
      <c r="C31" s="69"/>
      <c r="D31" s="69"/>
      <c r="E31" s="69"/>
    </row>
    <row r="32" spans="2:5" ht="15.75">
      <c r="B32" s="204"/>
      <c r="C32" s="195"/>
      <c r="D32" s="195"/>
      <c r="E32" s="195"/>
    </row>
    <row r="33" spans="2:5" ht="15.75">
      <c r="B33" s="204"/>
      <c r="C33" s="195"/>
      <c r="D33" s="195"/>
      <c r="E33" s="195"/>
    </row>
    <row r="34" spans="2:5" ht="15.75">
      <c r="B34" s="204"/>
      <c r="C34" s="195"/>
      <c r="D34" s="195"/>
      <c r="E34" s="195"/>
    </row>
    <row r="35" spans="2:5" ht="15.75">
      <c r="B35" s="204"/>
      <c r="C35" s="195"/>
      <c r="D35" s="195"/>
      <c r="E35" s="195"/>
    </row>
    <row r="36" spans="2:5" ht="15.75">
      <c r="B36" s="204"/>
      <c r="C36" s="195"/>
      <c r="D36" s="195"/>
      <c r="E36" s="195"/>
    </row>
    <row r="37" spans="2:5" ht="15.75">
      <c r="B37" s="204"/>
      <c r="C37" s="195"/>
      <c r="D37" s="195"/>
      <c r="E37" s="195"/>
    </row>
    <row r="38" spans="2:5" ht="15.75">
      <c r="B38" s="204"/>
      <c r="C38" s="195"/>
      <c r="D38" s="195"/>
      <c r="E38" s="195"/>
    </row>
    <row r="39" spans="2:5" ht="15.75">
      <c r="B39" s="204"/>
      <c r="C39" s="195"/>
      <c r="D39" s="195"/>
      <c r="E39" s="195"/>
    </row>
    <row r="40" spans="2:5" ht="15.75">
      <c r="B40" s="204"/>
      <c r="C40" s="195"/>
      <c r="D40" s="195"/>
      <c r="E40" s="195"/>
    </row>
    <row r="41" spans="2:5" ht="15.75">
      <c r="B41" s="205" t="str">
        <f>CONCATENATE("Cash Forward (",E1," column)")</f>
        <v>Cash Forward (0 column)</v>
      </c>
      <c r="C41" s="195"/>
      <c r="D41" s="195"/>
      <c r="E41" s="195"/>
    </row>
    <row r="42" spans="2:5" ht="15.75">
      <c r="B42" s="205" t="s">
        <v>236</v>
      </c>
      <c r="C42" s="195"/>
      <c r="D42" s="193"/>
      <c r="E42" s="193"/>
    </row>
    <row r="43" spans="2:5" ht="15.75">
      <c r="B43" s="205" t="s">
        <v>747</v>
      </c>
      <c r="C43" s="332">
        <f>IF(C44*0.1&lt;C42,"Exceed 10% Rule","")</f>
      </c>
      <c r="D43" s="218">
        <f>IF(D44*0.1&lt;D42,"Exceed 10% Rule","")</f>
      </c>
      <c r="E43" s="218">
        <f>IF(E44*0.1&lt;E42,"Exceed 10% Rule","")</f>
      </c>
    </row>
    <row r="44" spans="2:5" ht="15.75">
      <c r="B44" s="198" t="s">
        <v>39</v>
      </c>
      <c r="C44" s="222">
        <f>SUM(C22:C42)</f>
        <v>0</v>
      </c>
      <c r="D44" s="222">
        <f>SUM(D22:D42)</f>
        <v>0</v>
      </c>
      <c r="E44" s="222">
        <f>SUM(E22:E42)</f>
        <v>0</v>
      </c>
    </row>
    <row r="45" spans="2:5" ht="15.75">
      <c r="B45" s="105" t="s">
        <v>134</v>
      </c>
      <c r="C45" s="158">
        <f>C20-C44</f>
        <v>0</v>
      </c>
      <c r="D45" s="158">
        <f>D20-D44</f>
        <v>0</v>
      </c>
      <c r="E45" s="158">
        <f>E20-E44</f>
        <v>0</v>
      </c>
    </row>
    <row r="46" spans="2:5" ht="15.75">
      <c r="B46" s="122" t="str">
        <f>CONCATENATE("",E1-2,"/",E1-1,"/",E1," Budget Authority Amount:")</f>
        <v>-2/-1/0 Budget Authority Amount:</v>
      </c>
      <c r="C46" s="478">
        <f>inputOth!B88</f>
        <v>0</v>
      </c>
      <c r="D46" s="478">
        <f>inputPrYr!D52</f>
        <v>0</v>
      </c>
      <c r="E46" s="376">
        <f>E44</f>
        <v>0</v>
      </c>
    </row>
    <row r="47" spans="2:5" ht="15.75">
      <c r="B47" s="93"/>
      <c r="C47" s="208">
        <f>IF(C44&gt;C46,"See Tab A","")</f>
      </c>
      <c r="D47" s="208">
        <f>IF(D44&gt;D46,"See Tab C","")</f>
      </c>
      <c r="E47" s="688">
        <f>IF(E45&lt;0,"See Tab E","")</f>
      </c>
    </row>
    <row r="48" spans="2:5" ht="15.75">
      <c r="B48" s="962" t="s">
        <v>999</v>
      </c>
      <c r="C48" s="849"/>
      <c r="D48" s="849"/>
      <c r="E48" s="850"/>
    </row>
    <row r="49" spans="2:5" ht="15.75">
      <c r="B49" s="851"/>
      <c r="C49" s="852">
        <f>IF(C45&lt;0,"See Tab B","")</f>
      </c>
      <c r="D49" s="852">
        <f>IF(D45&lt;0,"See Tab D","")</f>
      </c>
      <c r="E49" s="858"/>
    </row>
    <row r="50" spans="2:5" ht="15.75">
      <c r="B50" s="853"/>
      <c r="C50" s="854"/>
      <c r="D50" s="854"/>
      <c r="E50" s="859"/>
    </row>
    <row r="51" spans="2:5" ht="15">
      <c r="B51" s="66"/>
      <c r="C51" s="66"/>
      <c r="D51" s="66"/>
      <c r="E51" s="66"/>
    </row>
    <row r="52" spans="2:5" ht="15.75">
      <c r="B52" s="93" t="s">
        <v>42</v>
      </c>
      <c r="C52" s="711"/>
      <c r="D52" s="66"/>
      <c r="E52" s="66"/>
    </row>
  </sheetData>
  <sheetProtection/>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2">
    <cfRule type="cellIs" priority="6" dxfId="260" operator="greaterThan" stopIfTrue="1">
      <formula>$C$44*0.1</formula>
    </cfRule>
  </conditionalFormatting>
  <conditionalFormatting sqref="D42">
    <cfRule type="cellIs" priority="7" dxfId="260" operator="greaterThan" stopIfTrue="1">
      <formula>$D$44*0.1</formula>
    </cfRule>
  </conditionalFormatting>
  <conditionalFormatting sqref="E42">
    <cfRule type="cellIs" priority="8" dxfId="260" operator="greaterThan" stopIfTrue="1">
      <formula>$E$44*0.1</formula>
    </cfRule>
  </conditionalFormatting>
  <conditionalFormatting sqref="C45 E45">
    <cfRule type="cellIs" priority="9" dxfId="0" operator="lessThan" stopIfTrue="1">
      <formula>0</formula>
    </cfRule>
  </conditionalFormatting>
  <conditionalFormatting sqref="C44">
    <cfRule type="cellIs" priority="10" dxfId="0" operator="greaterThan" stopIfTrue="1">
      <formula>$C$46</formula>
    </cfRule>
  </conditionalFormatting>
  <conditionalFormatting sqref="D44">
    <cfRule type="cellIs" priority="11" dxfId="0" operator="greaterThan" stopIfTrue="1">
      <formula>$D$46</formula>
    </cfRule>
  </conditionalFormatting>
  <conditionalFormatting sqref="D45">
    <cfRule type="cellIs" priority="2" dxfId="1" operator="lessThan" stopIfTrue="1">
      <formula>0</formula>
    </cfRule>
  </conditionalFormatting>
  <conditionalFormatting sqref="E46">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D47" sqref="D47"/>
    </sheetView>
  </sheetViews>
  <sheetFormatPr defaultColWidth="8.796875" defaultRowHeight="15"/>
  <cols>
    <col min="1" max="1" width="11.59765625" style="3" customWidth="1"/>
    <col min="2" max="2" width="7.3984375" style="3" customWidth="1"/>
    <col min="3" max="3" width="11.59765625" style="3" customWidth="1"/>
    <col min="4" max="4" width="7.3984375" style="3" customWidth="1"/>
    <col min="5" max="5" width="11.59765625" style="3" customWidth="1"/>
    <col min="6" max="6" width="7.3984375" style="3" customWidth="1"/>
    <col min="7" max="7" width="11.59765625" style="3" customWidth="1"/>
    <col min="8" max="8" width="7.3984375" style="3" customWidth="1"/>
    <col min="9" max="9" width="11.59765625" style="3" customWidth="1"/>
    <col min="10" max="16384" width="8.8984375" style="3" customWidth="1"/>
  </cols>
  <sheetData>
    <row r="1" spans="1:11" ht="15.75">
      <c r="A1" s="67">
        <f>inputPrYr!$C$3</f>
        <v>0</v>
      </c>
      <c r="B1" s="231"/>
      <c r="C1" s="67"/>
      <c r="D1" s="67"/>
      <c r="E1" s="67"/>
      <c r="F1" s="232" t="s">
        <v>162</v>
      </c>
      <c r="G1" s="67"/>
      <c r="H1" s="67"/>
      <c r="I1" s="67"/>
      <c r="J1" s="67"/>
      <c r="K1" s="67">
        <f>inputPrYr!$C$6</f>
        <v>0</v>
      </c>
    </row>
    <row r="2" spans="1:11" ht="15.75">
      <c r="A2" s="67"/>
      <c r="B2" s="67"/>
      <c r="C2" s="67"/>
      <c r="D2" s="67"/>
      <c r="E2" s="67"/>
      <c r="F2" s="233" t="str">
        <f>CONCATENATE("(Only the actual budget year for ",K1-2," is to be shown)")</f>
        <v>(Only the actual budget year for -2 is to be shown)</v>
      </c>
      <c r="G2" s="67"/>
      <c r="H2" s="67"/>
      <c r="I2" s="67"/>
      <c r="J2" s="67"/>
      <c r="K2" s="67"/>
    </row>
    <row r="3" spans="1:11" ht="15.75">
      <c r="A3" s="67" t="s">
        <v>190</v>
      </c>
      <c r="B3" s="67"/>
      <c r="C3" s="67"/>
      <c r="D3" s="67"/>
      <c r="E3" s="67"/>
      <c r="F3" s="231"/>
      <c r="G3" s="67"/>
      <c r="H3" s="67"/>
      <c r="I3" s="67"/>
      <c r="J3" s="67"/>
      <c r="K3" s="67"/>
    </row>
    <row r="4" spans="1:11" ht="15.75">
      <c r="A4" s="67" t="s">
        <v>170</v>
      </c>
      <c r="B4" s="67"/>
      <c r="C4" s="67" t="s">
        <v>171</v>
      </c>
      <c r="D4" s="67"/>
      <c r="E4" s="67" t="s">
        <v>172</v>
      </c>
      <c r="F4" s="231"/>
      <c r="G4" s="67" t="s">
        <v>173</v>
      </c>
      <c r="H4" s="67"/>
      <c r="I4" s="67" t="s">
        <v>174</v>
      </c>
      <c r="J4" s="67"/>
      <c r="K4" s="67"/>
    </row>
    <row r="5" spans="1:11" ht="15.75">
      <c r="A5" s="1047">
        <f>inputPrYr!$B56</f>
        <v>0</v>
      </c>
      <c r="B5" s="1048"/>
      <c r="C5" s="1047">
        <f>inputPrYr!$B57</f>
        <v>0</v>
      </c>
      <c r="D5" s="1048"/>
      <c r="E5" s="1047">
        <f>inputPrYr!$B58</f>
        <v>0</v>
      </c>
      <c r="F5" s="1048"/>
      <c r="G5" s="1047">
        <f>inputPrYr!$B59</f>
        <v>0</v>
      </c>
      <c r="H5" s="1048"/>
      <c r="I5" s="1047">
        <f>inputPrYr!$B60</f>
        <v>0</v>
      </c>
      <c r="J5" s="1048"/>
      <c r="K5" s="81"/>
    </row>
    <row r="6" spans="1:11" ht="15.75">
      <c r="A6" s="235" t="s">
        <v>158</v>
      </c>
      <c r="B6" s="236"/>
      <c r="C6" s="237" t="s">
        <v>158</v>
      </c>
      <c r="D6" s="238"/>
      <c r="E6" s="237" t="s">
        <v>158</v>
      </c>
      <c r="F6" s="239"/>
      <c r="G6" s="237" t="s">
        <v>158</v>
      </c>
      <c r="H6" s="234"/>
      <c r="I6" s="237" t="s">
        <v>158</v>
      </c>
      <c r="J6" s="67"/>
      <c r="K6" s="240" t="s">
        <v>301</v>
      </c>
    </row>
    <row r="7" spans="1:11" ht="15.75">
      <c r="A7" s="241" t="s">
        <v>244</v>
      </c>
      <c r="B7" s="242"/>
      <c r="C7" s="243" t="s">
        <v>244</v>
      </c>
      <c r="D7" s="242"/>
      <c r="E7" s="243" t="s">
        <v>244</v>
      </c>
      <c r="F7" s="242"/>
      <c r="G7" s="243" t="s">
        <v>244</v>
      </c>
      <c r="H7" s="242"/>
      <c r="I7" s="243" t="s">
        <v>244</v>
      </c>
      <c r="J7" s="242"/>
      <c r="K7" s="244">
        <f>SUM(B7+D7+F7+H7+J7)</f>
        <v>0</v>
      </c>
    </row>
    <row r="8" spans="1:11" ht="15.75">
      <c r="A8" s="245" t="s">
        <v>135</v>
      </c>
      <c r="B8" s="246"/>
      <c r="C8" s="245" t="s">
        <v>135</v>
      </c>
      <c r="D8" s="247"/>
      <c r="E8" s="245" t="s">
        <v>135</v>
      </c>
      <c r="F8" s="231"/>
      <c r="G8" s="245" t="s">
        <v>135</v>
      </c>
      <c r="H8" s="67"/>
      <c r="I8" s="245" t="s">
        <v>135</v>
      </c>
      <c r="J8" s="67"/>
      <c r="K8" s="231"/>
    </row>
    <row r="9" spans="1:11" ht="15.75">
      <c r="A9" s="248"/>
      <c r="B9" s="242"/>
      <c r="C9" s="248"/>
      <c r="D9" s="242"/>
      <c r="E9" s="248"/>
      <c r="F9" s="242"/>
      <c r="G9" s="248"/>
      <c r="H9" s="242"/>
      <c r="I9" s="248"/>
      <c r="J9" s="242"/>
      <c r="K9" s="231"/>
    </row>
    <row r="10" spans="1:11" ht="15.75">
      <c r="A10" s="248"/>
      <c r="B10" s="242"/>
      <c r="C10" s="248"/>
      <c r="D10" s="242"/>
      <c r="E10" s="248"/>
      <c r="F10" s="242"/>
      <c r="G10" s="248"/>
      <c r="H10" s="242"/>
      <c r="I10" s="248"/>
      <c r="J10" s="242"/>
      <c r="K10" s="231"/>
    </row>
    <row r="11" spans="1:11" ht="15.75">
      <c r="A11" s="248"/>
      <c r="B11" s="242"/>
      <c r="C11" s="249"/>
      <c r="D11" s="250"/>
      <c r="E11" s="249"/>
      <c r="F11" s="250"/>
      <c r="G11" s="249"/>
      <c r="H11" s="250"/>
      <c r="I11" s="251"/>
      <c r="J11" s="242"/>
      <c r="K11" s="231"/>
    </row>
    <row r="12" spans="1:11" ht="15.75">
      <c r="A12" s="248"/>
      <c r="B12" s="252"/>
      <c r="C12" s="248"/>
      <c r="D12" s="253"/>
      <c r="E12" s="254"/>
      <c r="F12" s="253"/>
      <c r="G12" s="254"/>
      <c r="H12" s="253"/>
      <c r="I12" s="254"/>
      <c r="J12" s="242"/>
      <c r="K12" s="231"/>
    </row>
    <row r="13" spans="1:11" ht="15.75">
      <c r="A13" s="255"/>
      <c r="B13" s="256"/>
      <c r="C13" s="257"/>
      <c r="D13" s="256"/>
      <c r="E13" s="257"/>
      <c r="F13" s="256"/>
      <c r="G13" s="257"/>
      <c r="H13" s="256"/>
      <c r="I13" s="251"/>
      <c r="J13" s="242"/>
      <c r="K13" s="231"/>
    </row>
    <row r="14" spans="1:11" ht="15.75">
      <c r="A14" s="248"/>
      <c r="B14" s="242"/>
      <c r="C14" s="254"/>
      <c r="D14" s="253"/>
      <c r="E14" s="254"/>
      <c r="F14" s="253"/>
      <c r="G14" s="254"/>
      <c r="H14" s="253"/>
      <c r="I14" s="254"/>
      <c r="J14" s="242"/>
      <c r="K14" s="231"/>
    </row>
    <row r="15" spans="1:11" ht="15.75">
      <c r="A15" s="248"/>
      <c r="B15" s="242"/>
      <c r="C15" s="254"/>
      <c r="D15" s="253"/>
      <c r="E15" s="254"/>
      <c r="F15" s="253"/>
      <c r="G15" s="254"/>
      <c r="H15" s="253"/>
      <c r="I15" s="254"/>
      <c r="J15" s="242"/>
      <c r="K15" s="231"/>
    </row>
    <row r="16" spans="1:11" ht="15.75">
      <c r="A16" s="248"/>
      <c r="B16" s="256"/>
      <c r="C16" s="248"/>
      <c r="D16" s="256"/>
      <c r="E16" s="248"/>
      <c r="F16" s="242"/>
      <c r="G16" s="254"/>
      <c r="H16" s="256"/>
      <c r="I16" s="248"/>
      <c r="J16" s="253"/>
      <c r="K16" s="231"/>
    </row>
    <row r="17" spans="1:11" ht="15.75">
      <c r="A17" s="245" t="s">
        <v>32</v>
      </c>
      <c r="B17" s="244">
        <f>SUM(B9:B16)</f>
        <v>0</v>
      </c>
      <c r="C17" s="245" t="s">
        <v>32</v>
      </c>
      <c r="D17" s="258">
        <f>SUM(D9:D16)</f>
        <v>0</v>
      </c>
      <c r="E17" s="245" t="s">
        <v>32</v>
      </c>
      <c r="F17" s="259">
        <f>SUM(F9:F16)</f>
        <v>0</v>
      </c>
      <c r="G17" s="245" t="s">
        <v>32</v>
      </c>
      <c r="H17" s="258">
        <f>SUM(H9:H16)</f>
        <v>0</v>
      </c>
      <c r="I17" s="245" t="s">
        <v>32</v>
      </c>
      <c r="J17" s="258">
        <f>SUM(J9:J16)</f>
        <v>0</v>
      </c>
      <c r="K17" s="244">
        <f>SUM(B17+D17+F17+H17+J17)</f>
        <v>0</v>
      </c>
    </row>
    <row r="18" spans="1:11" ht="15.75">
      <c r="A18" s="245" t="s">
        <v>33</v>
      </c>
      <c r="B18" s="244">
        <f>SUM(B7+B17)</f>
        <v>0</v>
      </c>
      <c r="C18" s="245" t="s">
        <v>33</v>
      </c>
      <c r="D18" s="244">
        <f>SUM(D7+D17)</f>
        <v>0</v>
      </c>
      <c r="E18" s="245" t="s">
        <v>33</v>
      </c>
      <c r="F18" s="244">
        <f>SUM(F7+F17)</f>
        <v>0</v>
      </c>
      <c r="G18" s="245" t="s">
        <v>33</v>
      </c>
      <c r="H18" s="244">
        <f>SUM(H7+H17)</f>
        <v>0</v>
      </c>
      <c r="I18" s="245" t="s">
        <v>33</v>
      </c>
      <c r="J18" s="244">
        <f>SUM(J7+J17)</f>
        <v>0</v>
      </c>
      <c r="K18" s="244">
        <f>SUM(B18+D18+F18+H18+J18)</f>
        <v>0</v>
      </c>
    </row>
    <row r="19" spans="1:11" ht="15.75">
      <c r="A19" s="245" t="s">
        <v>35</v>
      </c>
      <c r="B19" s="246"/>
      <c r="C19" s="245" t="s">
        <v>35</v>
      </c>
      <c r="D19" s="247"/>
      <c r="E19" s="245" t="s">
        <v>35</v>
      </c>
      <c r="F19" s="231"/>
      <c r="G19" s="245" t="s">
        <v>35</v>
      </c>
      <c r="H19" s="67"/>
      <c r="I19" s="245" t="s">
        <v>35</v>
      </c>
      <c r="J19" s="67"/>
      <c r="K19" s="231"/>
    </row>
    <row r="20" spans="1:11" ht="15.75">
      <c r="A20" s="248"/>
      <c r="B20" s="242"/>
      <c r="C20" s="254"/>
      <c r="D20" s="242"/>
      <c r="E20" s="254"/>
      <c r="F20" s="242"/>
      <c r="G20" s="254"/>
      <c r="H20" s="242"/>
      <c r="I20" s="254"/>
      <c r="J20" s="242"/>
      <c r="K20" s="231"/>
    </row>
    <row r="21" spans="1:11" ht="15.75">
      <c r="A21" s="248"/>
      <c r="B21" s="242"/>
      <c r="C21" s="254"/>
      <c r="D21" s="253"/>
      <c r="E21" s="254"/>
      <c r="F21" s="253"/>
      <c r="G21" s="254"/>
      <c r="H21" s="253"/>
      <c r="I21" s="254"/>
      <c r="J21" s="260"/>
      <c r="K21" s="231"/>
    </row>
    <row r="22" spans="1:11" ht="15.75">
      <c r="A22" s="248"/>
      <c r="B22" s="261"/>
      <c r="C22" s="257"/>
      <c r="D22" s="256"/>
      <c r="E22" s="257"/>
      <c r="F22" s="256"/>
      <c r="G22" s="257"/>
      <c r="H22" s="256"/>
      <c r="I22" s="251"/>
      <c r="J22" s="242"/>
      <c r="K22" s="231"/>
    </row>
    <row r="23" spans="1:11" ht="15.75">
      <c r="A23" s="248"/>
      <c r="B23" s="242"/>
      <c r="C23" s="254"/>
      <c r="D23" s="253"/>
      <c r="E23" s="254"/>
      <c r="F23" s="253"/>
      <c r="G23" s="254"/>
      <c r="H23" s="253"/>
      <c r="I23" s="254"/>
      <c r="J23" s="242"/>
      <c r="K23" s="231"/>
    </row>
    <row r="24" spans="1:11" ht="15.75">
      <c r="A24" s="248"/>
      <c r="B24" s="261"/>
      <c r="C24" s="257"/>
      <c r="D24" s="256"/>
      <c r="E24" s="257"/>
      <c r="F24" s="256"/>
      <c r="G24" s="257"/>
      <c r="H24" s="256"/>
      <c r="I24" s="251"/>
      <c r="J24" s="242"/>
      <c r="K24" s="231"/>
    </row>
    <row r="25" spans="1:11" ht="15.75">
      <c r="A25" s="248"/>
      <c r="B25" s="242"/>
      <c r="C25" s="254"/>
      <c r="D25" s="253"/>
      <c r="E25" s="254"/>
      <c r="F25" s="253"/>
      <c r="G25" s="254"/>
      <c r="H25" s="253"/>
      <c r="I25" s="254"/>
      <c r="J25" s="242"/>
      <c r="K25" s="231"/>
    </row>
    <row r="26" spans="1:11" ht="15.75">
      <c r="A26" s="248"/>
      <c r="B26" s="242"/>
      <c r="C26" s="254"/>
      <c r="D26" s="253"/>
      <c r="E26" s="254"/>
      <c r="F26" s="253"/>
      <c r="G26" s="254"/>
      <c r="H26" s="253"/>
      <c r="I26" s="254"/>
      <c r="J26" s="242"/>
      <c r="K26" s="231"/>
    </row>
    <row r="27" spans="1:11" ht="15.75">
      <c r="A27" s="248"/>
      <c r="B27" s="260"/>
      <c r="C27" s="248"/>
      <c r="D27" s="252"/>
      <c r="E27" s="248"/>
      <c r="F27" s="253"/>
      <c r="G27" s="254"/>
      <c r="H27" s="253"/>
      <c r="I27" s="254"/>
      <c r="J27" s="242"/>
      <c r="K27" s="231"/>
    </row>
    <row r="28" spans="1:11" ht="15.75">
      <c r="A28" s="245" t="s">
        <v>39</v>
      </c>
      <c r="B28" s="244">
        <f>SUM(B20:B27)</f>
        <v>0</v>
      </c>
      <c r="C28" s="245" t="s">
        <v>39</v>
      </c>
      <c r="D28" s="244">
        <f>SUM(D20:D27)</f>
        <v>0</v>
      </c>
      <c r="E28" s="245" t="s">
        <v>39</v>
      </c>
      <c r="F28" s="346">
        <f>SUM(F20:F27)</f>
        <v>0</v>
      </c>
      <c r="G28" s="245" t="s">
        <v>39</v>
      </c>
      <c r="H28" s="346">
        <f>SUM(H20:H27)</f>
        <v>0</v>
      </c>
      <c r="I28" s="245" t="s">
        <v>39</v>
      </c>
      <c r="J28" s="244">
        <f>SUM(J20:J27)</f>
        <v>0</v>
      </c>
      <c r="K28" s="244">
        <f>SUM(B28+D28+F28+H28+J28)</f>
        <v>0</v>
      </c>
    </row>
    <row r="29" spans="1:12" ht="15.75">
      <c r="A29" s="245" t="s">
        <v>157</v>
      </c>
      <c r="B29" s="244">
        <f>SUM(B18-B28)</f>
        <v>0</v>
      </c>
      <c r="C29" s="245" t="s">
        <v>157</v>
      </c>
      <c r="D29" s="244">
        <f>SUM(D18-D28)</f>
        <v>0</v>
      </c>
      <c r="E29" s="245" t="s">
        <v>157</v>
      </c>
      <c r="F29" s="244">
        <f>SUM(F18-F28)</f>
        <v>0</v>
      </c>
      <c r="G29" s="245" t="s">
        <v>157</v>
      </c>
      <c r="H29" s="244">
        <f>SUM(H18-H28)</f>
        <v>0</v>
      </c>
      <c r="I29" s="245" t="s">
        <v>157</v>
      </c>
      <c r="J29" s="244">
        <f>SUM(J18-J28)</f>
        <v>0</v>
      </c>
      <c r="K29" s="262">
        <f>SUM(B29+D29+F29+H29+J29)</f>
        <v>0</v>
      </c>
      <c r="L29" s="263" t="s">
        <v>218</v>
      </c>
    </row>
    <row r="30" spans="1:12" ht="15.75">
      <c r="A30" s="245"/>
      <c r="B30" s="286">
        <f>IF(B29&lt;0,"See Tab B","")</f>
      </c>
      <c r="C30" s="245"/>
      <c r="D30" s="286">
        <f>IF(D29&lt;0,"See Tab B","")</f>
      </c>
      <c r="E30" s="245"/>
      <c r="F30" s="286">
        <f>IF(F29&lt;0,"See Tab B","")</f>
      </c>
      <c r="G30" s="67"/>
      <c r="H30" s="286">
        <f>IF(H29&lt;0,"See Tab B","")</f>
      </c>
      <c r="I30" s="67"/>
      <c r="J30" s="286">
        <f>IF(J29&lt;0,"See Tab B","")</f>
      </c>
      <c r="K30" s="262">
        <f>SUM(K7+K17-K28)</f>
        <v>0</v>
      </c>
      <c r="L30" s="263" t="s">
        <v>218</v>
      </c>
    </row>
    <row r="31" spans="1:11" ht="15.75">
      <c r="A31" s="67"/>
      <c r="B31" s="264"/>
      <c r="C31" s="67"/>
      <c r="D31" s="231"/>
      <c r="E31" s="67"/>
      <c r="F31" s="67"/>
      <c r="G31" s="13" t="s">
        <v>219</v>
      </c>
      <c r="H31" s="13"/>
      <c r="I31" s="13"/>
      <c r="J31" s="13"/>
      <c r="K31" s="67"/>
    </row>
    <row r="32" spans="1:11" ht="15.75">
      <c r="A32" s="67"/>
      <c r="B32" s="264"/>
      <c r="C32" s="67"/>
      <c r="D32" s="231"/>
      <c r="E32" s="67"/>
      <c r="F32" s="67"/>
      <c r="G32" s="67"/>
      <c r="H32" s="67"/>
      <c r="I32" s="67"/>
      <c r="J32" s="67"/>
      <c r="K32" s="67"/>
    </row>
    <row r="33" spans="1:11" ht="15.75">
      <c r="A33" s="963" t="s">
        <v>1001</v>
      </c>
      <c r="B33" s="861"/>
      <c r="C33" s="862"/>
      <c r="D33" s="863"/>
      <c r="E33" s="862"/>
      <c r="F33" s="862"/>
      <c r="G33" s="862"/>
      <c r="H33" s="862"/>
      <c r="I33" s="862"/>
      <c r="J33" s="862"/>
      <c r="K33" s="864"/>
    </row>
    <row r="34" spans="1:11" ht="15.75">
      <c r="A34" s="865"/>
      <c r="B34" s="866"/>
      <c r="C34" s="867"/>
      <c r="D34" s="868"/>
      <c r="E34" s="867"/>
      <c r="F34" s="867"/>
      <c r="G34" s="867"/>
      <c r="H34" s="867"/>
      <c r="I34" s="867"/>
      <c r="J34" s="867"/>
      <c r="K34" s="869"/>
    </row>
    <row r="35" spans="1:11" ht="15.75">
      <c r="A35" s="870"/>
      <c r="B35" s="871"/>
      <c r="C35" s="81"/>
      <c r="D35" s="283"/>
      <c r="E35" s="81"/>
      <c r="F35" s="81"/>
      <c r="G35" s="81"/>
      <c r="H35" s="81"/>
      <c r="I35" s="81"/>
      <c r="J35" s="81"/>
      <c r="K35" s="872"/>
    </row>
    <row r="36" spans="1:11" ht="15.75">
      <c r="A36" s="67"/>
      <c r="B36" s="264"/>
      <c r="C36" s="67"/>
      <c r="D36" s="67"/>
      <c r="E36" s="67"/>
      <c r="F36" s="67"/>
      <c r="G36" s="67"/>
      <c r="H36" s="67"/>
      <c r="I36" s="67"/>
      <c r="J36" s="67"/>
      <c r="K36" s="67"/>
    </row>
    <row r="37" spans="1:11" ht="15.75">
      <c r="A37" s="67"/>
      <c r="B37" s="264"/>
      <c r="C37" s="67"/>
      <c r="D37" s="67"/>
      <c r="E37" s="209" t="s">
        <v>42</v>
      </c>
      <c r="F37" s="711"/>
      <c r="G37" s="67"/>
      <c r="H37" s="67"/>
      <c r="I37" s="67"/>
      <c r="J37" s="67"/>
      <c r="K37" s="67"/>
    </row>
    <row r="38" ht="15.75">
      <c r="B38" s="265"/>
    </row>
    <row r="39" ht="15.75">
      <c r="B39" s="265"/>
    </row>
    <row r="40" ht="15.75">
      <c r="B40" s="265"/>
    </row>
    <row r="41" ht="15.75">
      <c r="B41" s="265"/>
    </row>
    <row r="42" ht="15.75">
      <c r="B42" s="265"/>
    </row>
    <row r="43" ht="15.75">
      <c r="B43" s="265"/>
    </row>
    <row r="44" ht="15.75">
      <c r="B44" s="265"/>
    </row>
    <row r="45" ht="15.75">
      <c r="B45" s="265"/>
    </row>
  </sheetData>
  <sheetProtection/>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7"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C51" sqref="C51"/>
    </sheetView>
  </sheetViews>
  <sheetFormatPr defaultColWidth="8.796875" defaultRowHeight="15"/>
  <cols>
    <col min="1" max="1" width="11.59765625" style="3" customWidth="1"/>
    <col min="2" max="2" width="7.3984375" style="3" customWidth="1"/>
    <col min="3" max="3" width="11.59765625" style="3" customWidth="1"/>
    <col min="4" max="4" width="7.3984375" style="3" customWidth="1"/>
    <col min="5" max="5" width="11.59765625" style="3" customWidth="1"/>
    <col min="6" max="6" width="7.3984375" style="3" customWidth="1"/>
    <col min="7" max="7" width="11.59765625" style="3" customWidth="1"/>
    <col min="8" max="8" width="7.3984375" style="3" customWidth="1"/>
    <col min="9" max="9" width="11.59765625" style="3" customWidth="1"/>
    <col min="10" max="16384" width="8.8984375" style="3" customWidth="1"/>
  </cols>
  <sheetData>
    <row r="1" spans="1:11" ht="15.75">
      <c r="A1" s="67">
        <f>inputPrYr!$C$3</f>
        <v>0</v>
      </c>
      <c r="B1" s="231"/>
      <c r="C1" s="67"/>
      <c r="D1" s="67"/>
      <c r="E1" s="67"/>
      <c r="F1" s="232" t="s">
        <v>163</v>
      </c>
      <c r="G1" s="67"/>
      <c r="H1" s="67"/>
      <c r="I1" s="67"/>
      <c r="J1" s="67"/>
      <c r="K1" s="67">
        <f>inputPrYr!$C$6</f>
        <v>0</v>
      </c>
    </row>
    <row r="2" spans="1:11" ht="15.75">
      <c r="A2" s="67"/>
      <c r="B2" s="67"/>
      <c r="C2" s="67"/>
      <c r="D2" s="67"/>
      <c r="E2" s="67"/>
      <c r="F2" s="233" t="str">
        <f>CONCATENATE("(Only the actual budget year for ",K1-2," is to be shown)")</f>
        <v>(Only the actual budget year for -2 is to be shown)</v>
      </c>
      <c r="G2" s="67"/>
      <c r="H2" s="67"/>
      <c r="I2" s="67"/>
      <c r="J2" s="67"/>
      <c r="K2" s="67"/>
    </row>
    <row r="3" spans="1:11" ht="15.75">
      <c r="A3" s="67" t="s">
        <v>191</v>
      </c>
      <c r="B3" s="67"/>
      <c r="C3" s="67"/>
      <c r="D3" s="67"/>
      <c r="E3" s="67"/>
      <c r="F3" s="231"/>
      <c r="G3" s="67"/>
      <c r="H3" s="67"/>
      <c r="I3" s="67"/>
      <c r="J3" s="67"/>
      <c r="K3" s="67"/>
    </row>
    <row r="4" spans="1:11" ht="15.75">
      <c r="A4" s="67" t="s">
        <v>170</v>
      </c>
      <c r="B4" s="67"/>
      <c r="C4" s="67" t="s">
        <v>171</v>
      </c>
      <c r="D4" s="67"/>
      <c r="E4" s="67" t="s">
        <v>172</v>
      </c>
      <c r="F4" s="231"/>
      <c r="G4" s="67" t="s">
        <v>173</v>
      </c>
      <c r="H4" s="67"/>
      <c r="I4" s="67" t="s">
        <v>174</v>
      </c>
      <c r="J4" s="67"/>
      <c r="K4" s="67"/>
    </row>
    <row r="5" spans="1:11" ht="15.75">
      <c r="A5" s="1047">
        <f>inputPrYr!$B62</f>
        <v>0</v>
      </c>
      <c r="B5" s="1048"/>
      <c r="C5" s="1047">
        <f>inputPrYr!$B63</f>
        <v>0</v>
      </c>
      <c r="D5" s="1048"/>
      <c r="E5" s="1047">
        <f>inputPrYr!$B64</f>
        <v>0</v>
      </c>
      <c r="F5" s="1048"/>
      <c r="G5" s="1047">
        <f>inputPrYr!$B65</f>
        <v>0</v>
      </c>
      <c r="H5" s="1048"/>
      <c r="I5" s="1047">
        <f>inputPrYr!$B66</f>
        <v>0</v>
      </c>
      <c r="J5" s="1048"/>
      <c r="K5" s="81"/>
    </row>
    <row r="6" spans="1:11" ht="15.75">
      <c r="A6" s="235" t="s">
        <v>158</v>
      </c>
      <c r="B6" s="236"/>
      <c r="C6" s="237" t="s">
        <v>158</v>
      </c>
      <c r="D6" s="238"/>
      <c r="E6" s="237" t="s">
        <v>158</v>
      </c>
      <c r="F6" s="239"/>
      <c r="G6" s="237" t="s">
        <v>158</v>
      </c>
      <c r="H6" s="234"/>
      <c r="I6" s="237" t="s">
        <v>158</v>
      </c>
      <c r="J6" s="67"/>
      <c r="K6" s="240" t="s">
        <v>301</v>
      </c>
    </row>
    <row r="7" spans="1:11" ht="15.75">
      <c r="A7" s="241" t="s">
        <v>157</v>
      </c>
      <c r="B7" s="242"/>
      <c r="C7" s="243" t="s">
        <v>157</v>
      </c>
      <c r="D7" s="242"/>
      <c r="E7" s="243" t="s">
        <v>157</v>
      </c>
      <c r="F7" s="242"/>
      <c r="G7" s="243" t="s">
        <v>157</v>
      </c>
      <c r="H7" s="242"/>
      <c r="I7" s="243" t="s">
        <v>157</v>
      </c>
      <c r="J7" s="242"/>
      <c r="K7" s="244">
        <f>SUM(B7+D7+F7+H7+J7)</f>
        <v>0</v>
      </c>
    </row>
    <row r="8" spans="1:11" ht="15.75">
      <c r="A8" s="245" t="s">
        <v>135</v>
      </c>
      <c r="B8" s="246"/>
      <c r="C8" s="245" t="s">
        <v>135</v>
      </c>
      <c r="D8" s="247"/>
      <c r="E8" s="245" t="s">
        <v>135</v>
      </c>
      <c r="F8" s="231"/>
      <c r="G8" s="245" t="s">
        <v>135</v>
      </c>
      <c r="H8" s="67"/>
      <c r="I8" s="245" t="s">
        <v>135</v>
      </c>
      <c r="J8" s="67"/>
      <c r="K8" s="231"/>
    </row>
    <row r="9" spans="1:11" ht="15.75">
      <c r="A9" s="248"/>
      <c r="B9" s="242"/>
      <c r="C9" s="248"/>
      <c r="D9" s="242"/>
      <c r="E9" s="248"/>
      <c r="F9" s="242"/>
      <c r="G9" s="248"/>
      <c r="H9" s="242"/>
      <c r="I9" s="248"/>
      <c r="J9" s="242"/>
      <c r="K9" s="231"/>
    </row>
    <row r="10" spans="1:11" ht="15.75">
      <c r="A10" s="248"/>
      <c r="B10" s="242"/>
      <c r="C10" s="248"/>
      <c r="D10" s="242"/>
      <c r="E10" s="248"/>
      <c r="F10" s="242"/>
      <c r="G10" s="248"/>
      <c r="H10" s="242"/>
      <c r="I10" s="248"/>
      <c r="J10" s="242"/>
      <c r="K10" s="231"/>
    </row>
    <row r="11" spans="1:11" ht="15.75">
      <c r="A11" s="248"/>
      <c r="B11" s="242"/>
      <c r="C11" s="249"/>
      <c r="D11" s="250"/>
      <c r="E11" s="249"/>
      <c r="F11" s="250"/>
      <c r="G11" s="249"/>
      <c r="H11" s="250"/>
      <c r="I11" s="251"/>
      <c r="J11" s="242"/>
      <c r="K11" s="231"/>
    </row>
    <row r="12" spans="1:11" ht="15.75">
      <c r="A12" s="248"/>
      <c r="B12" s="252"/>
      <c r="C12" s="248"/>
      <c r="D12" s="253"/>
      <c r="E12" s="254"/>
      <c r="F12" s="253"/>
      <c r="G12" s="254"/>
      <c r="H12" s="253"/>
      <c r="I12" s="254"/>
      <c r="J12" s="242"/>
      <c r="K12" s="231"/>
    </row>
    <row r="13" spans="1:11" ht="15.75">
      <c r="A13" s="255"/>
      <c r="B13" s="256"/>
      <c r="C13" s="257"/>
      <c r="D13" s="256"/>
      <c r="E13" s="257"/>
      <c r="F13" s="256"/>
      <c r="G13" s="257"/>
      <c r="H13" s="256"/>
      <c r="I13" s="251"/>
      <c r="J13" s="242"/>
      <c r="K13" s="231"/>
    </row>
    <row r="14" spans="1:11" ht="15.75">
      <c r="A14" s="248"/>
      <c r="B14" s="242"/>
      <c r="C14" s="254"/>
      <c r="D14" s="253"/>
      <c r="E14" s="254"/>
      <c r="F14" s="253"/>
      <c r="G14" s="254"/>
      <c r="H14" s="253"/>
      <c r="I14" s="254"/>
      <c r="J14" s="242"/>
      <c r="K14" s="231"/>
    </row>
    <row r="15" spans="1:11" ht="15.75">
      <c r="A15" s="248"/>
      <c r="B15" s="242"/>
      <c r="C15" s="254"/>
      <c r="D15" s="253"/>
      <c r="E15" s="254"/>
      <c r="F15" s="253"/>
      <c r="G15" s="254"/>
      <c r="H15" s="253"/>
      <c r="I15" s="254"/>
      <c r="J15" s="242"/>
      <c r="K15" s="231"/>
    </row>
    <row r="16" spans="1:11" ht="15.75">
      <c r="A16" s="248"/>
      <c r="B16" s="256"/>
      <c r="C16" s="248"/>
      <c r="D16" s="256"/>
      <c r="E16" s="248"/>
      <c r="F16" s="242"/>
      <c r="G16" s="254"/>
      <c r="H16" s="256"/>
      <c r="I16" s="248"/>
      <c r="J16" s="253"/>
      <c r="K16" s="231"/>
    </row>
    <row r="17" spans="1:11" ht="15.75">
      <c r="A17" s="245" t="s">
        <v>32</v>
      </c>
      <c r="B17" s="244">
        <f>SUM(B9:B16)</f>
        <v>0</v>
      </c>
      <c r="C17" s="245" t="s">
        <v>32</v>
      </c>
      <c r="D17" s="258">
        <f>SUM(D9:D16)</f>
        <v>0</v>
      </c>
      <c r="E17" s="245" t="s">
        <v>32</v>
      </c>
      <c r="F17" s="259">
        <f>SUM(F9:F16)</f>
        <v>0</v>
      </c>
      <c r="G17" s="245" t="s">
        <v>32</v>
      </c>
      <c r="H17" s="258">
        <f>SUM(H9:H16)</f>
        <v>0</v>
      </c>
      <c r="I17" s="245" t="s">
        <v>32</v>
      </c>
      <c r="J17" s="258">
        <f>SUM(J9:J16)</f>
        <v>0</v>
      </c>
      <c r="K17" s="244">
        <f>SUM(B17+D17+F17+H17+J17)</f>
        <v>0</v>
      </c>
    </row>
    <row r="18" spans="1:11" ht="15.75">
      <c r="A18" s="245" t="s">
        <v>33</v>
      </c>
      <c r="B18" s="244">
        <f>SUM(B7+B17)</f>
        <v>0</v>
      </c>
      <c r="C18" s="245" t="s">
        <v>33</v>
      </c>
      <c r="D18" s="244">
        <f>SUM(D7+D17)</f>
        <v>0</v>
      </c>
      <c r="E18" s="245" t="s">
        <v>33</v>
      </c>
      <c r="F18" s="244">
        <f>SUM(F7+F17)</f>
        <v>0</v>
      </c>
      <c r="G18" s="245" t="s">
        <v>33</v>
      </c>
      <c r="H18" s="244">
        <f>SUM(H7+H17)</f>
        <v>0</v>
      </c>
      <c r="I18" s="245" t="s">
        <v>33</v>
      </c>
      <c r="J18" s="244">
        <f>SUM(J7+J17)</f>
        <v>0</v>
      </c>
      <c r="K18" s="244">
        <f>SUM(B18+D18+F18+H18+J18)</f>
        <v>0</v>
      </c>
    </row>
    <row r="19" spans="1:11" ht="15.75">
      <c r="A19" s="245" t="s">
        <v>35</v>
      </c>
      <c r="B19" s="246"/>
      <c r="C19" s="245" t="s">
        <v>35</v>
      </c>
      <c r="D19" s="247"/>
      <c r="E19" s="245" t="s">
        <v>35</v>
      </c>
      <c r="F19" s="231"/>
      <c r="G19" s="245" t="s">
        <v>35</v>
      </c>
      <c r="H19" s="67"/>
      <c r="I19" s="245" t="s">
        <v>35</v>
      </c>
      <c r="J19" s="67"/>
      <c r="K19" s="231"/>
    </row>
    <row r="20" spans="1:11" ht="15.75">
      <c r="A20" s="248"/>
      <c r="B20" s="242"/>
      <c r="C20" s="254"/>
      <c r="D20" s="242"/>
      <c r="E20" s="254"/>
      <c r="F20" s="242"/>
      <c r="G20" s="254"/>
      <c r="H20" s="242"/>
      <c r="I20" s="254"/>
      <c r="J20" s="242"/>
      <c r="K20" s="231"/>
    </row>
    <row r="21" spans="1:11" ht="15.75">
      <c r="A21" s="248"/>
      <c r="B21" s="242"/>
      <c r="C21" s="254"/>
      <c r="D21" s="253"/>
      <c r="E21" s="254"/>
      <c r="F21" s="253"/>
      <c r="G21" s="254"/>
      <c r="H21" s="253"/>
      <c r="I21" s="254"/>
      <c r="J21" s="260"/>
      <c r="K21" s="231"/>
    </row>
    <row r="22" spans="1:11" ht="15.75">
      <c r="A22" s="248"/>
      <c r="B22" s="261"/>
      <c r="C22" s="257"/>
      <c r="D22" s="256"/>
      <c r="E22" s="257"/>
      <c r="F22" s="256"/>
      <c r="G22" s="257"/>
      <c r="H22" s="256"/>
      <c r="I22" s="251"/>
      <c r="J22" s="242"/>
      <c r="K22" s="231"/>
    </row>
    <row r="23" spans="1:11" ht="15.75">
      <c r="A23" s="248"/>
      <c r="B23" s="242"/>
      <c r="C23" s="254"/>
      <c r="D23" s="253"/>
      <c r="E23" s="254"/>
      <c r="F23" s="253"/>
      <c r="G23" s="254"/>
      <c r="H23" s="253"/>
      <c r="I23" s="254"/>
      <c r="J23" s="242"/>
      <c r="K23" s="231"/>
    </row>
    <row r="24" spans="1:11" ht="15.75">
      <c r="A24" s="248"/>
      <c r="B24" s="261"/>
      <c r="C24" s="257"/>
      <c r="D24" s="256"/>
      <c r="E24" s="257"/>
      <c r="F24" s="256"/>
      <c r="G24" s="257"/>
      <c r="H24" s="256"/>
      <c r="I24" s="251"/>
      <c r="J24" s="242"/>
      <c r="K24" s="231"/>
    </row>
    <row r="25" spans="1:11" ht="15.75">
      <c r="A25" s="248"/>
      <c r="B25" s="242"/>
      <c r="C25" s="254"/>
      <c r="D25" s="253"/>
      <c r="E25" s="254"/>
      <c r="F25" s="253"/>
      <c r="G25" s="254"/>
      <c r="H25" s="253"/>
      <c r="I25" s="254"/>
      <c r="J25" s="242"/>
      <c r="K25" s="231"/>
    </row>
    <row r="26" spans="1:11" ht="15.75">
      <c r="A26" s="248"/>
      <c r="B26" s="242"/>
      <c r="C26" s="254"/>
      <c r="D26" s="253"/>
      <c r="E26" s="254"/>
      <c r="F26" s="253"/>
      <c r="G26" s="254"/>
      <c r="H26" s="253"/>
      <c r="I26" s="254"/>
      <c r="J26" s="242"/>
      <c r="K26" s="231"/>
    </row>
    <row r="27" spans="1:11" ht="15.75">
      <c r="A27" s="248"/>
      <c r="B27" s="260"/>
      <c r="C27" s="248"/>
      <c r="D27" s="252"/>
      <c r="E27" s="248"/>
      <c r="F27" s="253"/>
      <c r="G27" s="254"/>
      <c r="H27" s="253"/>
      <c r="I27" s="254"/>
      <c r="J27" s="242"/>
      <c r="K27" s="231"/>
    </row>
    <row r="28" spans="1:11" ht="15.75">
      <c r="A28" s="245" t="s">
        <v>39</v>
      </c>
      <c r="B28" s="244">
        <f>SUM(B20:B27)</f>
        <v>0</v>
      </c>
      <c r="C28" s="245" t="s">
        <v>39</v>
      </c>
      <c r="D28" s="244">
        <f>SUM(D20:D27)</f>
        <v>0</v>
      </c>
      <c r="E28" s="245" t="s">
        <v>39</v>
      </c>
      <c r="F28" s="346">
        <f>SUM(F20:F27)</f>
        <v>0</v>
      </c>
      <c r="G28" s="245" t="s">
        <v>39</v>
      </c>
      <c r="H28" s="346">
        <f>SUM(H20:H27)</f>
        <v>0</v>
      </c>
      <c r="I28" s="245" t="s">
        <v>39</v>
      </c>
      <c r="J28" s="244">
        <f>SUM(J20:J27)</f>
        <v>0</v>
      </c>
      <c r="K28" s="244">
        <f>SUM(B28+D28+F28+H28+J28)</f>
        <v>0</v>
      </c>
    </row>
    <row r="29" spans="1:12" ht="15.75">
      <c r="A29" s="245" t="s">
        <v>157</v>
      </c>
      <c r="B29" s="244">
        <f>SUM(B18-B28)</f>
        <v>0</v>
      </c>
      <c r="C29" s="245" t="s">
        <v>157</v>
      </c>
      <c r="D29" s="244">
        <f>SUM(D18-D28)</f>
        <v>0</v>
      </c>
      <c r="E29" s="245" t="s">
        <v>157</v>
      </c>
      <c r="F29" s="244">
        <f>SUM(F18-F28)</f>
        <v>0</v>
      </c>
      <c r="G29" s="245" t="s">
        <v>157</v>
      </c>
      <c r="H29" s="244">
        <f>SUM(H18-H28)</f>
        <v>0</v>
      </c>
      <c r="I29" s="245" t="s">
        <v>157</v>
      </c>
      <c r="J29" s="244">
        <f>SUM(J18-J28)</f>
        <v>0</v>
      </c>
      <c r="K29" s="262">
        <f>SUM(B29+D29+F29+H29+J29)</f>
        <v>0</v>
      </c>
      <c r="L29" s="263" t="s">
        <v>218</v>
      </c>
    </row>
    <row r="30" spans="1:12" ht="15.75">
      <c r="A30" s="245"/>
      <c r="B30" s="286">
        <f>IF(B29&lt;0,"See Tab B","")</f>
      </c>
      <c r="C30" s="245"/>
      <c r="D30" s="286">
        <f>IF(D29&lt;0,"See Tab B","")</f>
      </c>
      <c r="E30" s="245"/>
      <c r="F30" s="286">
        <f>IF(F29&lt;0,"See Tab B","")</f>
      </c>
      <c r="G30" s="67"/>
      <c r="H30" s="286">
        <f>IF(H29&lt;0,"See Tab B","")</f>
      </c>
      <c r="I30" s="67"/>
      <c r="J30" s="286">
        <f>IF(J29&lt;0,"See Tab B","")</f>
      </c>
      <c r="K30" s="262">
        <f>SUM(K7+K17-K28)</f>
        <v>0</v>
      </c>
      <c r="L30" s="263" t="s">
        <v>218</v>
      </c>
    </row>
    <row r="31" spans="1:11" ht="15.75">
      <c r="A31" s="67"/>
      <c r="B31" s="264"/>
      <c r="C31" s="67"/>
      <c r="D31" s="231"/>
      <c r="E31" s="67"/>
      <c r="F31" s="67"/>
      <c r="G31" s="13" t="s">
        <v>219</v>
      </c>
      <c r="H31" s="13"/>
      <c r="I31" s="13"/>
      <c r="J31" s="13"/>
      <c r="K31" s="67"/>
    </row>
    <row r="32" spans="1:11" ht="15.75">
      <c r="A32" s="67"/>
      <c r="B32" s="264"/>
      <c r="C32" s="67"/>
      <c r="D32" s="231"/>
      <c r="E32" s="67"/>
      <c r="F32" s="67"/>
      <c r="G32" s="67"/>
      <c r="H32" s="67"/>
      <c r="I32" s="67"/>
      <c r="J32" s="67"/>
      <c r="K32" s="67"/>
    </row>
    <row r="33" spans="1:11" ht="15.75">
      <c r="A33" s="963" t="s">
        <v>1001</v>
      </c>
      <c r="B33" s="861"/>
      <c r="C33" s="862"/>
      <c r="D33" s="863"/>
      <c r="E33" s="862"/>
      <c r="F33" s="862"/>
      <c r="G33" s="862"/>
      <c r="H33" s="862"/>
      <c r="I33" s="862"/>
      <c r="J33" s="862"/>
      <c r="K33" s="864"/>
    </row>
    <row r="34" spans="1:11" ht="15.75">
      <c r="A34" s="865"/>
      <c r="B34" s="866"/>
      <c r="C34" s="867"/>
      <c r="D34" s="868"/>
      <c r="E34" s="867"/>
      <c r="F34" s="867"/>
      <c r="G34" s="867"/>
      <c r="H34" s="867"/>
      <c r="I34" s="867"/>
      <c r="J34" s="867"/>
      <c r="K34" s="869"/>
    </row>
    <row r="35" spans="1:11" ht="15.75">
      <c r="A35" s="870"/>
      <c r="B35" s="871"/>
      <c r="C35" s="81"/>
      <c r="D35" s="283"/>
      <c r="E35" s="81"/>
      <c r="F35" s="81"/>
      <c r="G35" s="81"/>
      <c r="H35" s="81"/>
      <c r="I35" s="81"/>
      <c r="J35" s="81"/>
      <c r="K35" s="872"/>
    </row>
    <row r="36" spans="1:11" ht="15.75">
      <c r="A36" s="67"/>
      <c r="B36" s="264"/>
      <c r="C36" s="67"/>
      <c r="D36" s="67"/>
      <c r="E36" s="67"/>
      <c r="F36" s="67"/>
      <c r="G36" s="67"/>
      <c r="H36" s="67"/>
      <c r="I36" s="67"/>
      <c r="J36" s="67"/>
      <c r="K36" s="67"/>
    </row>
    <row r="37" spans="1:11" ht="15.75">
      <c r="A37" s="67"/>
      <c r="B37" s="264"/>
      <c r="C37" s="67"/>
      <c r="D37" s="67"/>
      <c r="E37" s="209" t="s">
        <v>42</v>
      </c>
      <c r="F37" s="711"/>
      <c r="G37" s="67"/>
      <c r="H37" s="67"/>
      <c r="I37" s="67"/>
      <c r="J37" s="67"/>
      <c r="K37" s="67"/>
    </row>
    <row r="38" ht="15.75">
      <c r="B38" s="265"/>
    </row>
    <row r="39" ht="15.75">
      <c r="B39" s="265"/>
    </row>
    <row r="40" ht="15.75">
      <c r="B40" s="265"/>
    </row>
    <row r="41" ht="15.75">
      <c r="B41" s="265"/>
    </row>
    <row r="42" ht="15.75">
      <c r="B42" s="265"/>
    </row>
    <row r="43" ht="15.75">
      <c r="B43" s="265"/>
    </row>
    <row r="44" ht="15.75">
      <c r="B44" s="265"/>
    </row>
    <row r="45" ht="15.75">
      <c r="B45" s="265"/>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A66"/>
  <sheetViews>
    <sheetView zoomScalePageLayoutView="0" workbookViewId="0" topLeftCell="A10">
      <selection activeCell="N108" sqref="N108"/>
    </sheetView>
  </sheetViews>
  <sheetFormatPr defaultColWidth="8.796875" defaultRowHeight="15"/>
  <cols>
    <col min="1" max="1" width="70.59765625" style="64" customWidth="1"/>
    <col min="2" max="16384" width="8.8984375" style="64" customWidth="1"/>
  </cols>
  <sheetData>
    <row r="1" ht="18.75">
      <c r="A1" s="425" t="s">
        <v>334</v>
      </c>
    </row>
    <row r="2" ht="15.75">
      <c r="A2" s="1"/>
    </row>
    <row r="3" ht="57" customHeight="1">
      <c r="A3" s="426" t="s">
        <v>674</v>
      </c>
    </row>
    <row r="4" ht="15.75">
      <c r="A4" s="427"/>
    </row>
    <row r="5" ht="15.75">
      <c r="A5" s="1"/>
    </row>
    <row r="6" ht="44.25" customHeight="1">
      <c r="A6" s="426" t="s">
        <v>675</v>
      </c>
    </row>
    <row r="7" ht="15.75">
      <c r="A7" s="1"/>
    </row>
    <row r="8" ht="15.75">
      <c r="A8" s="427"/>
    </row>
    <row r="9" ht="46.5" customHeight="1">
      <c r="A9" s="426" t="s">
        <v>676</v>
      </c>
    </row>
    <row r="10" ht="15.75">
      <c r="A10" s="1"/>
    </row>
    <row r="11" ht="15.75">
      <c r="A11" s="427"/>
    </row>
    <row r="12" ht="60" customHeight="1">
      <c r="A12" s="426" t="s">
        <v>677</v>
      </c>
    </row>
    <row r="13" ht="15.75">
      <c r="A13" s="1"/>
    </row>
    <row r="14" ht="15.75">
      <c r="A14" s="1"/>
    </row>
    <row r="15" ht="61.5" customHeight="1">
      <c r="A15" s="426" t="s">
        <v>678</v>
      </c>
    </row>
    <row r="16" ht="15.75">
      <c r="A16" s="1"/>
    </row>
    <row r="17" ht="15.75">
      <c r="A17" s="1"/>
    </row>
    <row r="18" ht="59.25" customHeight="1">
      <c r="A18" s="426" t="s">
        <v>679</v>
      </c>
    </row>
    <row r="19" ht="15.75">
      <c r="A19" s="1"/>
    </row>
    <row r="20" ht="15.75">
      <c r="A20" s="1"/>
    </row>
    <row r="21" ht="61.5" customHeight="1">
      <c r="A21" s="426" t="s">
        <v>680</v>
      </c>
    </row>
    <row r="22" ht="15.75">
      <c r="A22" s="427"/>
    </row>
    <row r="23" ht="15.75">
      <c r="A23" s="427"/>
    </row>
    <row r="24" ht="63" customHeight="1">
      <c r="A24" s="426" t="s">
        <v>681</v>
      </c>
    </row>
    <row r="25" ht="15.75">
      <c r="A25" s="1"/>
    </row>
    <row r="26" ht="15.75">
      <c r="A26" s="1"/>
    </row>
    <row r="27" ht="52.5" customHeight="1">
      <c r="A27" s="428" t="s">
        <v>682</v>
      </c>
    </row>
    <row r="28" ht="15.75">
      <c r="A28" s="1"/>
    </row>
    <row r="29" ht="15.75">
      <c r="A29" s="1"/>
    </row>
    <row r="30" ht="44.25" customHeight="1">
      <c r="A30" s="426" t="s">
        <v>683</v>
      </c>
    </row>
    <row r="31" ht="15.75">
      <c r="A31" s="1"/>
    </row>
    <row r="32" ht="15.75">
      <c r="A32" s="1"/>
    </row>
    <row r="33" ht="42.75" customHeight="1">
      <c r="A33" s="426" t="s">
        <v>684</v>
      </c>
    </row>
    <row r="34" ht="15.75">
      <c r="A34" s="427"/>
    </row>
    <row r="35" ht="15.75">
      <c r="A35" s="427"/>
    </row>
    <row r="36" ht="38.25" customHeight="1">
      <c r="A36" s="426" t="s">
        <v>685</v>
      </c>
    </row>
    <row r="37" ht="15.75">
      <c r="A37" s="427"/>
    </row>
    <row r="38" ht="15.75">
      <c r="A38" s="1"/>
    </row>
    <row r="39" ht="75.75" customHeight="1">
      <c r="A39" s="426" t="s">
        <v>686</v>
      </c>
    </row>
    <row r="40" ht="15.75">
      <c r="A40" s="1"/>
    </row>
    <row r="41" ht="15.75">
      <c r="A41" s="1"/>
    </row>
    <row r="42" ht="57.75" customHeight="1">
      <c r="A42" s="426" t="s">
        <v>687</v>
      </c>
    </row>
    <row r="43" ht="15.75">
      <c r="A43" s="427"/>
    </row>
    <row r="44" ht="15.75">
      <c r="A44" s="1"/>
    </row>
    <row r="45" ht="57.75" customHeight="1">
      <c r="A45" s="426" t="s">
        <v>688</v>
      </c>
    </row>
    <row r="46" ht="15.75">
      <c r="A46" s="1"/>
    </row>
    <row r="47" ht="15.75">
      <c r="A47" s="1"/>
    </row>
    <row r="48" ht="41.25" customHeight="1">
      <c r="A48" s="426" t="s">
        <v>689</v>
      </c>
    </row>
    <row r="49" ht="15.75">
      <c r="A49" s="1"/>
    </row>
    <row r="50" ht="15.75">
      <c r="A50" s="1"/>
    </row>
    <row r="51" ht="75" customHeight="1">
      <c r="A51" s="426" t="s">
        <v>690</v>
      </c>
    </row>
    <row r="52" ht="15.75">
      <c r="A52" s="427"/>
    </row>
    <row r="53" ht="15.75">
      <c r="A53" s="427"/>
    </row>
    <row r="54" ht="57.75" customHeight="1">
      <c r="A54" s="426" t="s">
        <v>691</v>
      </c>
    </row>
    <row r="55" ht="15.75">
      <c r="A55" s="1"/>
    </row>
    <row r="56" ht="15.75">
      <c r="A56" s="1"/>
    </row>
    <row r="57" ht="44.25" customHeight="1">
      <c r="A57" s="426" t="s">
        <v>692</v>
      </c>
    </row>
    <row r="58" ht="15.75">
      <c r="A58" s="1"/>
    </row>
    <row r="59" ht="15.75">
      <c r="A59" s="1"/>
    </row>
    <row r="60" ht="60" customHeight="1">
      <c r="A60" s="426" t="s">
        <v>693</v>
      </c>
    </row>
    <row r="61" ht="15.75">
      <c r="A61" s="427"/>
    </row>
    <row r="62" ht="15.75">
      <c r="A62" s="427"/>
    </row>
    <row r="63" ht="57.75" customHeight="1">
      <c r="A63" s="426" t="s">
        <v>694</v>
      </c>
    </row>
    <row r="64" ht="15.75">
      <c r="A64" s="1"/>
    </row>
    <row r="65" ht="15.75">
      <c r="A65" s="1"/>
    </row>
    <row r="66" ht="60" customHeight="1">
      <c r="A66" s="426" t="s">
        <v>695</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1">
      <selection activeCell="U98" sqref="U98"/>
    </sheetView>
  </sheetViews>
  <sheetFormatPr defaultColWidth="8.796875" defaultRowHeight="15"/>
  <cols>
    <col min="1" max="1" width="20.796875" style="3" customWidth="1"/>
    <col min="2" max="2" width="15.796875" style="3" customWidth="1"/>
    <col min="3" max="3" width="10.796875" style="3" customWidth="1"/>
    <col min="4" max="4" width="15.796875" style="3" customWidth="1"/>
    <col min="5" max="5" width="10.796875" style="3" customWidth="1"/>
    <col min="6" max="6" width="15.796875" style="3" customWidth="1"/>
    <col min="7" max="7" width="12.796875" style="3" customWidth="1"/>
    <col min="8" max="8" width="10.796875" style="3" customWidth="1"/>
    <col min="9" max="9" width="8.8984375" style="3" customWidth="1"/>
    <col min="10" max="10" width="12.3984375" style="3" customWidth="1"/>
    <col min="11" max="11" width="12.296875" style="3" customWidth="1"/>
    <col min="12" max="12" width="10.59765625" style="3" customWidth="1"/>
    <col min="13" max="13" width="12.09765625" style="3" customWidth="1"/>
    <col min="14" max="16384" width="8.8984375" style="3" customWidth="1"/>
  </cols>
  <sheetData>
    <row r="1" spans="1:8" ht="15.75">
      <c r="A1" s="67"/>
      <c r="B1" s="67"/>
      <c r="C1" s="67"/>
      <c r="D1" s="67"/>
      <c r="E1" s="67"/>
      <c r="F1" s="67"/>
      <c r="G1" s="67"/>
      <c r="H1" s="67">
        <f>inputPrYr!$C$6</f>
        <v>0</v>
      </c>
    </row>
    <row r="2" spans="1:9" ht="15.75">
      <c r="A2" s="1059" t="s">
        <v>88</v>
      </c>
      <c r="B2" s="1059"/>
      <c r="C2" s="1059"/>
      <c r="D2" s="1059"/>
      <c r="E2" s="1059"/>
      <c r="F2" s="1059"/>
      <c r="G2" s="1059"/>
      <c r="H2" s="1059"/>
      <c r="I2" s="266"/>
    </row>
    <row r="3" spans="1:8" ht="15.75">
      <c r="A3" s="16"/>
      <c r="B3" s="16"/>
      <c r="C3" s="16"/>
      <c r="D3" s="16"/>
      <c r="E3" s="16"/>
      <c r="F3" s="16"/>
      <c r="G3" s="16"/>
      <c r="H3" s="16"/>
    </row>
    <row r="4" spans="1:8" ht="15.75">
      <c r="A4" s="989" t="s">
        <v>45</v>
      </c>
      <c r="B4" s="989"/>
      <c r="C4" s="989"/>
      <c r="D4" s="989"/>
      <c r="E4" s="989"/>
      <c r="F4" s="989"/>
      <c r="G4" s="989"/>
      <c r="H4" s="989"/>
    </row>
    <row r="5" spans="1:8" ht="15.75">
      <c r="A5" s="968">
        <f>inputPrYr!D3</f>
        <v>0</v>
      </c>
      <c r="B5" s="968"/>
      <c r="C5" s="968"/>
      <c r="D5" s="968"/>
      <c r="E5" s="968"/>
      <c r="F5" s="968"/>
      <c r="G5" s="968"/>
      <c r="H5" s="968"/>
    </row>
    <row r="6" spans="1:8" ht="15.75">
      <c r="A6" s="1049" t="str">
        <f>CONCATENATE("will meet on ",inputBudSum!B7," at ",inputBudSum!B9," at ",inputBudSum!B11," for the purpose of")</f>
        <v>will meet on  at  at  for the purpose of</v>
      </c>
      <c r="B6" s="1049"/>
      <c r="C6" s="1049"/>
      <c r="D6" s="1049"/>
      <c r="E6" s="1049"/>
      <c r="F6" s="1049"/>
      <c r="G6" s="1049"/>
      <c r="H6" s="1049"/>
    </row>
    <row r="7" spans="1:8" ht="15.75">
      <c r="A7" s="989" t="s">
        <v>569</v>
      </c>
      <c r="B7" s="989"/>
      <c r="C7" s="989"/>
      <c r="D7" s="989"/>
      <c r="E7" s="989"/>
      <c r="F7" s="989"/>
      <c r="G7" s="989"/>
      <c r="H7" s="989"/>
    </row>
    <row r="8" spans="1:8" ht="15.75">
      <c r="A8" s="1060" t="str">
        <f>CONCATENATE("Detailed budget information is available at ",inputBudSum!B14," and will be available at this hearing.")</f>
        <v>Detailed budget information is available at  and will be available at this hearing.</v>
      </c>
      <c r="B8" s="1060"/>
      <c r="C8" s="1060"/>
      <c r="D8" s="1060"/>
      <c r="E8" s="1060"/>
      <c r="F8" s="1060"/>
      <c r="G8" s="1060"/>
      <c r="H8" s="1060"/>
    </row>
    <row r="9" spans="1:8" ht="15.75">
      <c r="A9" s="22" t="s">
        <v>89</v>
      </c>
      <c r="B9" s="23"/>
      <c r="C9" s="23"/>
      <c r="D9" s="23"/>
      <c r="E9" s="23"/>
      <c r="F9" s="23"/>
      <c r="G9" s="23"/>
      <c r="H9" s="23"/>
    </row>
    <row r="10" spans="1:8" ht="15.75">
      <c r="A10" s="24" t="str">
        <f>CONCATENATE("Proposed Budget ",H1," Expenditures and Amount of  ",H1-1," Ad Valorem Tax establish the maximum limits of the ",H1," budget.")</f>
        <v>Proposed Budget 0 Expenditures and Amount of  -1 Ad Valorem Tax establish the maximum limits of the 0 budget.</v>
      </c>
      <c r="B10" s="23"/>
      <c r="C10" s="23"/>
      <c r="D10" s="23"/>
      <c r="E10" s="23"/>
      <c r="F10" s="23"/>
      <c r="G10" s="23"/>
      <c r="H10" s="23"/>
    </row>
    <row r="11" spans="1:8" ht="15.75">
      <c r="A11" s="24" t="s">
        <v>139</v>
      </c>
      <c r="B11" s="23"/>
      <c r="C11" s="23"/>
      <c r="D11" s="23"/>
      <c r="E11" s="23"/>
      <c r="F11" s="23"/>
      <c r="G11" s="23"/>
      <c r="H11" s="23"/>
    </row>
    <row r="12" spans="1:8" ht="15.75">
      <c r="A12" s="16"/>
      <c r="B12" s="221"/>
      <c r="C12" s="221"/>
      <c r="D12" s="221"/>
      <c r="E12" s="221"/>
      <c r="F12" s="221"/>
      <c r="G12" s="221"/>
      <c r="H12" s="221"/>
    </row>
    <row r="13" spans="1:8" ht="15.75">
      <c r="A13" s="16"/>
      <c r="B13" s="267" t="str">
        <f>CONCATENATE("Prior Year Actual for ",H1-2,"")</f>
        <v>Prior Year Actual for -2</v>
      </c>
      <c r="C13" s="96"/>
      <c r="D13" s="267" t="str">
        <f>CONCATENATE("Current Year Estimate for ",H1-1,"")</f>
        <v>Current Year Estimate for -1</v>
      </c>
      <c r="E13" s="96"/>
      <c r="F13" s="94" t="str">
        <f>CONCATENATE("Proposed Budget for ",H1,"")</f>
        <v>Proposed Budget for 0</v>
      </c>
      <c r="G13" s="95"/>
      <c r="H13" s="96"/>
    </row>
    <row r="14" spans="1:8" ht="21" customHeight="1">
      <c r="A14" s="16"/>
      <c r="B14" s="211"/>
      <c r="C14" s="99" t="s">
        <v>46</v>
      </c>
      <c r="D14" s="99"/>
      <c r="E14" s="99" t="s">
        <v>46</v>
      </c>
      <c r="F14" s="353" t="s">
        <v>233</v>
      </c>
      <c r="G14" s="99" t="str">
        <f>CONCATENATE("Amount of ",H1-1,"")</f>
        <v>Amount of -1</v>
      </c>
      <c r="H14" s="99" t="s">
        <v>189</v>
      </c>
    </row>
    <row r="15" spans="1:8" ht="15.75">
      <c r="A15" s="33" t="s">
        <v>47</v>
      </c>
      <c r="B15" s="103" t="s">
        <v>48</v>
      </c>
      <c r="C15" s="103" t="s">
        <v>49</v>
      </c>
      <c r="D15" s="103" t="s">
        <v>48</v>
      </c>
      <c r="E15" s="103" t="s">
        <v>49</v>
      </c>
      <c r="F15" s="354" t="s">
        <v>591</v>
      </c>
      <c r="G15" s="104" t="s">
        <v>24</v>
      </c>
      <c r="H15" s="103" t="s">
        <v>49</v>
      </c>
    </row>
    <row r="16" spans="1:8" ht="15.75">
      <c r="A16" s="51" t="str">
        <f>inputPrYr!B22</f>
        <v>General</v>
      </c>
      <c r="B16" s="158" t="str">
        <f>IF(general!$C$107&lt;&gt;0,general!$C$107,"  ")</f>
        <v>  </v>
      </c>
      <c r="C16" s="45" t="str">
        <f>IF(inputPrYr!D69&gt;0,inputPrYr!D69,"  ")</f>
        <v>  </v>
      </c>
      <c r="D16" s="158" t="str">
        <f>IF(general!$D$107&lt;&gt;0,general!$D$107,"  ")</f>
        <v>  </v>
      </c>
      <c r="E16" s="45" t="str">
        <f>IF(inputOth!D22&gt;0,inputOth!D22,"  ")</f>
        <v>  </v>
      </c>
      <c r="F16" s="158" t="str">
        <f>IF(general!$E$107&lt;&gt;0,general!$E$107,"  ")</f>
        <v>  </v>
      </c>
      <c r="G16" s="158" t="str">
        <f>IF(general!$E$114&lt;&gt;0,general!$E$114,"  ")</f>
        <v>  </v>
      </c>
      <c r="H16" s="45" t="str">
        <f>IF(general!E114&gt;0,ROUND(G16/$F$48*1000,3),"  ")</f>
        <v>  </v>
      </c>
    </row>
    <row r="17" spans="1:8" ht="15.75">
      <c r="A17" s="51" t="str">
        <f>IF(inputPrYr!$B23&gt;"  ",(inputPrYr!$B23),"  ")</f>
        <v>Debt Service</v>
      </c>
      <c r="B17" s="158" t="str">
        <f>IF('DebtSvs-Library'!C35&lt;&gt;0,'DebtSvs-Library'!C35,"  ")</f>
        <v>  </v>
      </c>
      <c r="C17" s="45" t="str">
        <f>IF(inputPrYr!D70&gt;0,inputPrYr!D70,"  ")</f>
        <v>  </v>
      </c>
      <c r="D17" s="158" t="str">
        <f>IF('DebtSvs-Library'!D35&lt;&gt;0,'DebtSvs-Library'!D35,"  ")</f>
        <v>  </v>
      </c>
      <c r="E17" s="45" t="str">
        <f>IF(inputOth!D23&gt;0,inputOth!D23,"  ")</f>
        <v>  </v>
      </c>
      <c r="F17" s="158" t="str">
        <f>IF('DebtSvs-Library'!E35&lt;&gt;0,'DebtSvs-Library'!E35,"  ")</f>
        <v>  </v>
      </c>
      <c r="G17" s="158" t="str">
        <f>IF('DebtSvs-Library'!E42&lt;&gt;0,'DebtSvs-Library'!E42," ")</f>
        <v> </v>
      </c>
      <c r="H17" s="45" t="str">
        <f>IF('DebtSvs-Library'!E42&gt;0,ROUND(G17/$F$48*1000,3)," ")</f>
        <v> </v>
      </c>
    </row>
    <row r="18" spans="1:8" ht="15.75">
      <c r="A18" s="51" t="str">
        <f>IF(inputPrYr!$B24&gt;"  ",(inputPrYr!$B24),"  ")</f>
        <v>Library</v>
      </c>
      <c r="B18" s="158" t="str">
        <f>IF('DebtSvs-Library'!C74&lt;&gt;0,'DebtSvs-Library'!C74,"  ")</f>
        <v>  </v>
      </c>
      <c r="C18" s="45" t="str">
        <f>IF(inputPrYr!D71&gt;0,inputPrYr!D71,"  ")</f>
        <v>  </v>
      </c>
      <c r="D18" s="158" t="str">
        <f>IF('DebtSvs-Library'!D74&lt;&gt;0,'DebtSvs-Library'!D74,"  ")</f>
        <v>  </v>
      </c>
      <c r="E18" s="45" t="str">
        <f>IF(inputOth!D24&gt;0,inputOth!D24,"  ")</f>
        <v>  </v>
      </c>
      <c r="F18" s="158" t="str">
        <f>IF('DebtSvs-Library'!E74&lt;&gt;0,'DebtSvs-Library'!E74,"  ")</f>
        <v>  </v>
      </c>
      <c r="G18" s="158" t="str">
        <f>IF('DebtSvs-Library'!E81&lt;&gt;0,'DebtSvs-Library'!E81," ")</f>
        <v> </v>
      </c>
      <c r="H18" s="45" t="str">
        <f>IF('DebtSvs-Library'!E81&gt;0,ROUND(G18/$F$48*1000,3)," ")</f>
        <v> </v>
      </c>
    </row>
    <row r="19" spans="1:8" ht="15.75">
      <c r="A19" s="51" t="str">
        <f>IF(inputPrYr!$B26&gt;"  ",(inputPrYr!$B26),"  ")</f>
        <v>  </v>
      </c>
      <c r="B19" s="158" t="str">
        <f>IF('levy page9'!$C$33&gt;0,'levy page9'!$C$33,"  ")</f>
        <v>  </v>
      </c>
      <c r="C19" s="45" t="str">
        <f>IF(inputPrYr!D72&gt;0,inputPrYr!D72,"  ")</f>
        <v>  </v>
      </c>
      <c r="D19" s="158" t="str">
        <f>IF('levy page9'!$D$33&gt;0,'levy page9'!$D$33,"  ")</f>
        <v>  </v>
      </c>
      <c r="E19" s="45" t="str">
        <f>IF(inputOth!D25&gt;0,inputOth!D25,"  ")</f>
        <v>  </v>
      </c>
      <c r="F19" s="158" t="str">
        <f>IF('levy page9'!$E$33&gt;0,'levy page9'!$E$33,"  ")</f>
        <v>  </v>
      </c>
      <c r="G19" s="158" t="str">
        <f>IF('levy page9'!$E$40&lt;&gt;0,'levy page9'!$E$40,"  ")</f>
        <v>  </v>
      </c>
      <c r="H19" s="45" t="str">
        <f>IF('levy page9'!E40&lt;&gt;0,ROUND(G19/$F$48*1000,3),"  ")</f>
        <v>  </v>
      </c>
    </row>
    <row r="20" spans="1:8" ht="15.75">
      <c r="A20" s="51" t="str">
        <f>IF(inputPrYr!$B27&gt;"  ",(inputPrYr!$B27),"  ")</f>
        <v>  </v>
      </c>
      <c r="B20" s="158" t="str">
        <f>IF('levy page9'!$C$75&gt;0,'levy page9'!$C$75,"  ")</f>
        <v>  </v>
      </c>
      <c r="C20" s="45" t="str">
        <f>IF(inputPrYr!D73&gt;0,inputPrYr!D73,"  ")</f>
        <v>  </v>
      </c>
      <c r="D20" s="158" t="str">
        <f>IF('levy page9'!$D$75&gt;0,'levy page9'!$D$75,"  ")</f>
        <v>  </v>
      </c>
      <c r="E20" s="45" t="str">
        <f>IF(inputOth!D26&gt;0,inputOth!D26,"  ")</f>
        <v>  </v>
      </c>
      <c r="F20" s="158" t="str">
        <f>IF('levy page9'!$E$75&gt;0,'levy page9'!$E$75,"  ")</f>
        <v>  </v>
      </c>
      <c r="G20" s="158" t="str">
        <f>IF('levy page9'!$E$82&lt;&gt;0,'levy page9'!$E$82,"  ")</f>
        <v>  </v>
      </c>
      <c r="H20" s="45" t="str">
        <f>IF('levy page9'!E82&lt;&gt;0,ROUND(G20/$F$48*1000,3),"  ")</f>
        <v>  </v>
      </c>
    </row>
    <row r="21" spans="1:8" ht="15.75">
      <c r="A21" s="51" t="str">
        <f>IF(inputPrYr!$B28&gt;"  ",(inputPrYr!$B28),"  ")</f>
        <v>  </v>
      </c>
      <c r="B21" s="158" t="str">
        <f>IF('levy page10'!$C$32&gt;0,'levy page10'!$C$32,"  ")</f>
        <v>  </v>
      </c>
      <c r="C21" s="45" t="str">
        <f>IF(inputPrYr!D74&gt;0,inputPrYr!D74,"  ")</f>
        <v>  </v>
      </c>
      <c r="D21" s="158" t="str">
        <f>IF('levy page10'!$D$32&gt;0,'levy page10'!$D$32,"  ")</f>
        <v>  </v>
      </c>
      <c r="E21" s="45" t="str">
        <f>IF(inputOth!D27&gt;0,inputOth!D27,"  ")</f>
        <v>  </v>
      </c>
      <c r="F21" s="158" t="str">
        <f>IF('levy page10'!$E$32&gt;0,'levy page10'!$E$32,"  ")</f>
        <v>  </v>
      </c>
      <c r="G21" s="158" t="str">
        <f>IF('levy page10'!$E$39&lt;&gt;0,'levy page10'!$E$39,"  ")</f>
        <v>  </v>
      </c>
      <c r="H21" s="45" t="str">
        <f>IF('levy page10'!E39&lt;&gt;0,ROUND(G21/$F$48*1000,3),"  ")</f>
        <v>  </v>
      </c>
    </row>
    <row r="22" spans="1:8" ht="15.75">
      <c r="A22" s="51" t="str">
        <f>IF(inputPrYr!$B29&gt;"  ",(inputPrYr!$B29),"  ")</f>
        <v>  </v>
      </c>
      <c r="B22" s="158" t="str">
        <f>IF('levy page10'!$C$74&gt;0,'levy page10'!$C$74,"  ")</f>
        <v>  </v>
      </c>
      <c r="C22" s="45" t="str">
        <f>IF(inputPrYr!D75&gt;0,inputPrYr!D75,"  ")</f>
        <v>  </v>
      </c>
      <c r="D22" s="158" t="str">
        <f>IF('levy page10'!$D$74&gt;0,'levy page10'!$D$74,"  ")</f>
        <v>  </v>
      </c>
      <c r="E22" s="45" t="str">
        <f>IF(inputOth!D28&gt;0,inputOth!D28,"  ")</f>
        <v>  </v>
      </c>
      <c r="F22" s="158" t="str">
        <f>IF('levy page10'!$E$74&gt;0,'levy page10'!$E$74,"  ")</f>
        <v>  </v>
      </c>
      <c r="G22" s="158" t="str">
        <f>IF('levy page10'!$E$81&lt;&gt;0,'levy page10'!$E$81,"  ")</f>
        <v>  </v>
      </c>
      <c r="H22" s="45" t="str">
        <f>IF('levy page10'!E81&lt;&gt;0,ROUND(G22/$F$48*1000,3),"  ")</f>
        <v>  </v>
      </c>
    </row>
    <row r="23" spans="1:8" ht="15.75">
      <c r="A23" s="51" t="str">
        <f>IF(inputPrYr!$B30&gt;"  ",(inputPrYr!$B30),"  ")</f>
        <v>  </v>
      </c>
      <c r="B23" s="158" t="str">
        <f>IF('levy page11'!$C$35&gt;0,'levy page11'!$C$35,"  ")</f>
        <v>  </v>
      </c>
      <c r="C23" s="45" t="str">
        <f>IF(inputPrYr!D76&gt;0,inputPrYr!D76,"  ")</f>
        <v>  </v>
      </c>
      <c r="D23" s="158" t="str">
        <f>IF('levy page11'!$D$35&gt;0,'levy page11'!$D$35,"  ")</f>
        <v>  </v>
      </c>
      <c r="E23" s="45" t="str">
        <f>IF(inputOth!D29&gt;0,inputOth!D29,"  ")</f>
        <v>  </v>
      </c>
      <c r="F23" s="158" t="str">
        <f>IF('levy page11'!$E$35&gt;0,'levy page11'!$E$35,"  ")</f>
        <v>  </v>
      </c>
      <c r="G23" s="158" t="str">
        <f>IF('levy page11'!$E$42&lt;&gt;0,'levy page11'!$E$42,"  ")</f>
        <v>  </v>
      </c>
      <c r="H23" s="45" t="str">
        <f>IF('levy page11'!E42&lt;&gt;0,ROUND(G23/$F$48*1000,3),"  ")</f>
        <v>  </v>
      </c>
    </row>
    <row r="24" spans="1:8" ht="15.75">
      <c r="A24" s="51" t="str">
        <f>IF(inputPrYr!$B31&gt;"  ",(inputPrYr!$B31),"  ")</f>
        <v>  </v>
      </c>
      <c r="B24" s="158" t="str">
        <f>IF('levy page11'!$C$75&gt;0,'levy page11'!$C$75,"  ")</f>
        <v>  </v>
      </c>
      <c r="C24" s="45" t="str">
        <f>IF(inputPrYr!D77&gt;0,inputPrYr!D77,"  ")</f>
        <v>  </v>
      </c>
      <c r="D24" s="158" t="str">
        <f>IF('levy page11'!$D$75&gt;0,'levy page11'!$D$75,"  ")</f>
        <v>  </v>
      </c>
      <c r="E24" s="45" t="str">
        <f>IF(inputOth!D30&gt;0,inputOth!D30,"  ")</f>
        <v>  </v>
      </c>
      <c r="F24" s="158" t="str">
        <f>IF('levy page11'!$E$75&gt;0,'levy page11'!$E$75,"  ")</f>
        <v>  </v>
      </c>
      <c r="G24" s="158" t="str">
        <f>IF('levy page11'!$E$82&lt;&gt;0,'levy page11'!$E$82,"  ")</f>
        <v>  </v>
      </c>
      <c r="H24" s="45" t="str">
        <f>IF('levy page11'!E82&lt;&gt;0,ROUND(G24/$F$48*1000,3),"  ")</f>
        <v>  </v>
      </c>
    </row>
    <row r="25" spans="1:8" ht="15.75">
      <c r="A25" s="51" t="str">
        <f>IF(inputPrYr!$B32&gt;"  ",(inputPrYr!$B32),"  ")</f>
        <v>  </v>
      </c>
      <c r="B25" s="158" t="str">
        <f>IF('levy page12'!$C$35&gt;0,'levy page12'!$C$35,"  ")</f>
        <v>  </v>
      </c>
      <c r="C25" s="45" t="str">
        <f>IF(inputPrYr!D78&gt;0,inputPrYr!D78,"  ")</f>
        <v>  </v>
      </c>
      <c r="D25" s="158" t="str">
        <f>IF('levy page12'!$D$35&gt;0,'levy page12'!$D$35,"  ")</f>
        <v>  </v>
      </c>
      <c r="E25" s="45" t="str">
        <f>IF(inputOth!D31&gt;0,inputOth!D31,"  ")</f>
        <v>  </v>
      </c>
      <c r="F25" s="158" t="str">
        <f>IF('levy page12'!$E$35&gt;0,'levy page12'!$E$35,"  ")</f>
        <v>  </v>
      </c>
      <c r="G25" s="158" t="str">
        <f>IF('levy page12'!$E$42&lt;&gt;0,'levy page12'!$E$42,"  ")</f>
        <v>  </v>
      </c>
      <c r="H25" s="45" t="str">
        <f>IF('levy page12'!E42&lt;&gt;0,ROUND(G25/$F$48*1000,3),"  ")</f>
        <v>  </v>
      </c>
    </row>
    <row r="26" spans="1:8" ht="15.75">
      <c r="A26" s="51" t="str">
        <f>IF(inputPrYr!$B33&gt;"  ",(inputPrYr!$B33),"  ")</f>
        <v>  </v>
      </c>
      <c r="B26" s="158" t="str">
        <f>IF('levy page12'!$C$74&gt;0,'levy page12'!$C$74,"  ")</f>
        <v>  </v>
      </c>
      <c r="C26" s="45" t="str">
        <f>IF(inputPrYr!D79&gt;0,inputPrYr!D79,"  ")</f>
        <v>  </v>
      </c>
      <c r="D26" s="158" t="str">
        <f>IF('levy page12'!$D$74&gt;0,'levy page12'!$D$74,"  ")</f>
        <v>  </v>
      </c>
      <c r="E26" s="45" t="str">
        <f>IF(inputOth!D32&gt;0,inputOth!D32,"  ")</f>
        <v>  </v>
      </c>
      <c r="F26" s="158" t="str">
        <f>IF('levy page12'!$E$74&gt;0,'levy page12'!$E$74,"  ")</f>
        <v>  </v>
      </c>
      <c r="G26" s="158" t="str">
        <f>IF('levy page12'!$E$81&lt;&gt;0,'levy page12'!$E$81,"  ")</f>
        <v>  </v>
      </c>
      <c r="H26" s="45" t="str">
        <f>IF('levy page12'!E81&lt;&gt;0,ROUND(G26/$F$48*1000,3),"  ")</f>
        <v>  </v>
      </c>
    </row>
    <row r="27" spans="1:8" ht="15.75">
      <c r="A27" s="51" t="str">
        <f>IF(inputPrYr!$B34&gt;"  ",(inputPrYr!$B34),"  ")</f>
        <v>  </v>
      </c>
      <c r="B27" s="158" t="str">
        <f>IF('levy page13'!$C$32&gt;0,'levy page13'!$C$32,"  ")</f>
        <v>  </v>
      </c>
      <c r="C27" s="45" t="str">
        <f>IF(inputPrYr!D80&gt;0,inputPrYr!D80,"  ")</f>
        <v>  </v>
      </c>
      <c r="D27" s="158" t="str">
        <f>IF('levy page13'!$D$32&gt;0,'levy page13'!$D$32,"  ")</f>
        <v>  </v>
      </c>
      <c r="E27" s="45" t="str">
        <f>IF(inputOth!D33&gt;0,inputOth!D33,"  ")</f>
        <v>  </v>
      </c>
      <c r="F27" s="158" t="str">
        <f>IF('levy page13'!$E$32&gt;0,'levy page13'!$E$32,"  ")</f>
        <v>  </v>
      </c>
      <c r="G27" s="158" t="str">
        <f>IF('levy page13'!$E$39&lt;&gt;0,'levy page13'!$E$39,"  ")</f>
        <v>  </v>
      </c>
      <c r="H27" s="45" t="str">
        <f>IF('levy page13'!E39&lt;&gt;0,ROUND(G27/$F$48*1000,3),"  ")</f>
        <v>  </v>
      </c>
    </row>
    <row r="28" spans="1:8" ht="15.75">
      <c r="A28" s="51" t="str">
        <f>IF(inputPrYr!$B35&gt;"  ",(inputPrYr!$B35),"  ")</f>
        <v>  </v>
      </c>
      <c r="B28" s="158" t="str">
        <f>IF('levy page13'!$C$74&gt;0,'levy page13'!$C$74,"  ")</f>
        <v>  </v>
      </c>
      <c r="C28" s="45" t="str">
        <f>IF(inputPrYr!D81&gt;0,inputPrYr!D81,"  ")</f>
        <v>  </v>
      </c>
      <c r="D28" s="158" t="str">
        <f>IF('levy page13'!$D$74&gt;0,'levy page13'!$D$74,"  ")</f>
        <v>  </v>
      </c>
      <c r="E28" s="45" t="str">
        <f>IF(inputOth!D34&gt;0,inputOth!D34,"  ")</f>
        <v>  </v>
      </c>
      <c r="F28" s="158" t="str">
        <f>IF('levy page13'!$E$74&gt;0,'levy page13'!$E$74,"  ")</f>
        <v>  </v>
      </c>
      <c r="G28" s="158" t="str">
        <f>IF('levy page13'!$E$81&lt;&gt;0,'levy page13'!$E$81,"  ")</f>
        <v>  </v>
      </c>
      <c r="H28" s="45" t="str">
        <f>IF('levy page13'!E81&lt;&gt;0,ROUND(G28/$F$48*1000,3),"  ")</f>
        <v>  </v>
      </c>
    </row>
    <row r="29" spans="1:8" ht="15.75">
      <c r="A29" s="51" t="str">
        <f>IF(inputPrYr!$B39&gt;"  ",(inputPrYr!$B39),"  ")</f>
        <v>Special Highway</v>
      </c>
      <c r="B29" s="158" t="str">
        <f>IF('Sp Hiway'!$C$25&gt;0,'Sp Hiway'!$C$25,"  ")</f>
        <v>  </v>
      </c>
      <c r="C29" s="34"/>
      <c r="D29" s="158" t="str">
        <f>IF('Sp Hiway'!$D$25&gt;0,'Sp Hiway'!$D$25,"  ")</f>
        <v>  </v>
      </c>
      <c r="E29" s="34"/>
      <c r="F29" s="158" t="str">
        <f>IF('Sp Hiway'!$E$25&gt;0,'Sp Hiway'!$E$25,"  ")</f>
        <v>  </v>
      </c>
      <c r="G29" s="158"/>
      <c r="H29" s="34"/>
    </row>
    <row r="30" spans="1:8" ht="15.75">
      <c r="A30" s="51" t="str">
        <f>IF(inputPrYr!$B40&gt;"  ",(inputPrYr!$B40),"  ")</f>
        <v>  </v>
      </c>
      <c r="B30" s="158" t="str">
        <f>IF('Sp Hiway'!$C$56&gt;0,'Sp Hiway'!$C$56,"  ")</f>
        <v>  </v>
      </c>
      <c r="C30" s="34"/>
      <c r="D30" s="158" t="str">
        <f>IF('Sp Hiway'!$D$56&gt;0,'Sp Hiway'!$D$56,"  ")</f>
        <v>  </v>
      </c>
      <c r="E30" s="34"/>
      <c r="F30" s="158" t="str">
        <f>IF('Sp Hiway'!$E$56&gt;0,'Sp Hiway'!$E$56,"  ")</f>
        <v>  </v>
      </c>
      <c r="G30" s="158"/>
      <c r="H30" s="34"/>
    </row>
    <row r="31" spans="1:8" ht="15.75">
      <c r="A31" s="51" t="str">
        <f>IF(inputPrYr!$B41&gt;"  ",(inputPrYr!$B41),"  ")</f>
        <v>  </v>
      </c>
      <c r="B31" s="158" t="str">
        <f>IF(nolevypage15!$C$25&gt;0,nolevypage15!$C$25,"  ")</f>
        <v>  </v>
      </c>
      <c r="C31" s="34"/>
      <c r="D31" s="158" t="str">
        <f>IF(nolevypage15!$D$25&gt;0,nolevypage15!$D$25,"  ")</f>
        <v>  </v>
      </c>
      <c r="E31" s="34"/>
      <c r="F31" s="158" t="str">
        <f>IF(nolevypage15!$E$25&gt;0,nolevypage15!$E$25,"  ")</f>
        <v>  </v>
      </c>
      <c r="G31" s="158"/>
      <c r="H31" s="34"/>
    </row>
    <row r="32" spans="1:13" ht="15.75">
      <c r="A32" s="51" t="str">
        <f>IF(inputPrYr!$B42&gt;"  ",(inputPrYr!$B42),"  ")</f>
        <v>  </v>
      </c>
      <c r="B32" s="158" t="str">
        <f>IF(nolevypage15!$C$56&gt;0,nolevypage15!$C$56,"  ")</f>
        <v>  </v>
      </c>
      <c r="C32" s="34"/>
      <c r="D32" s="158" t="str">
        <f>IF(nolevypage15!$D$56&gt;0,nolevypage15!$D$56,"  ")</f>
        <v>  </v>
      </c>
      <c r="E32" s="34"/>
      <c r="F32" s="158" t="str">
        <f>IF(nolevypage15!$E$56&gt;0,nolevypage15!$E$56,"  ")</f>
        <v>  </v>
      </c>
      <c r="G32" s="158"/>
      <c r="H32" s="34"/>
      <c r="J32" s="1050" t="str">
        <f>CONCATENATE("Estimated Value Of One Mill For ",H1,"")</f>
        <v>Estimated Value Of One Mill For 0</v>
      </c>
      <c r="K32" s="1051"/>
      <c r="L32" s="1051"/>
      <c r="M32" s="1052"/>
    </row>
    <row r="33" spans="1:13" ht="15.75">
      <c r="A33" s="51" t="str">
        <f>IF(inputPrYr!$B43&gt;"  ",(inputPrYr!$B43),"  ")</f>
        <v>  </v>
      </c>
      <c r="B33" s="158" t="str">
        <f>IF(nolevypage16!$C$26&gt;0,nolevypage16!$C$26,"  ")</f>
        <v>  </v>
      </c>
      <c r="C33" s="34"/>
      <c r="D33" s="158" t="str">
        <f>IF(nolevypage16!$D$26&gt;0,nolevypage16!$D$26,"  ")</f>
        <v>  </v>
      </c>
      <c r="E33" s="34"/>
      <c r="F33" s="158" t="str">
        <f>IF(nolevypage16!$E$26&gt;0,nolevypage16!$E$26,"  ")</f>
        <v>  </v>
      </c>
      <c r="G33" s="158"/>
      <c r="H33" s="34"/>
      <c r="J33" s="455"/>
      <c r="K33" s="456"/>
      <c r="L33" s="456"/>
      <c r="M33" s="457"/>
    </row>
    <row r="34" spans="1:13" ht="15.75">
      <c r="A34" s="51" t="str">
        <f>IF(inputPrYr!$B44&gt;"  ",(inputPrYr!$B44),"  ")</f>
        <v>  </v>
      </c>
      <c r="B34" s="158" t="str">
        <f>IF(nolevypage16!$C$57&gt;0,nolevypage16!$C$57,"  ")</f>
        <v>  </v>
      </c>
      <c r="C34" s="34"/>
      <c r="D34" s="158" t="str">
        <f>IF(nolevypage16!$D$57&gt;0,nolevypage16!$D$57,"  ")</f>
        <v>  </v>
      </c>
      <c r="E34" s="34"/>
      <c r="F34" s="158" t="str">
        <f>IF(nolevypage16!$E$57&gt;0,nolevypage16!$E$57,"  ")</f>
        <v>  </v>
      </c>
      <c r="G34" s="158"/>
      <c r="H34" s="34"/>
      <c r="J34" s="458" t="s">
        <v>703</v>
      </c>
      <c r="K34" s="459"/>
      <c r="L34" s="459"/>
      <c r="M34" s="737">
        <f>ROUND(F48/1000,0)</f>
        <v>0</v>
      </c>
    </row>
    <row r="35" spans="1:8" ht="15.75">
      <c r="A35" s="51" t="str">
        <f>IF(inputPrYr!$B45&gt;"  ",(inputPrYr!$B45),"  ")</f>
        <v>  </v>
      </c>
      <c r="B35" s="158" t="str">
        <f>IF(nolevypage17!$C$26&gt;0,nolevypage17!$C$26,"  ")</f>
        <v>  </v>
      </c>
      <c r="C35" s="34"/>
      <c r="D35" s="158" t="str">
        <f>IF(nolevypage17!$D$26&gt;0,nolevypage17!$D$26,"  ")</f>
        <v>  </v>
      </c>
      <c r="E35" s="34"/>
      <c r="F35" s="158" t="str">
        <f>IF(nolevypage17!$E$26&gt;0,nolevypage17!$E$26,"  ")</f>
        <v>  </v>
      </c>
      <c r="G35" s="158"/>
      <c r="H35" s="34"/>
    </row>
    <row r="36" spans="1:13" ht="15.75">
      <c r="A36" s="51" t="str">
        <f>IF(inputPrYr!$B46&gt;"  ",(inputPrYr!$B46),"  ")</f>
        <v>  </v>
      </c>
      <c r="B36" s="158" t="str">
        <f>IF(nolevypage17!$C$57&gt;0,nolevypage17!$C$57,"  ")</f>
        <v>  </v>
      </c>
      <c r="C36" s="34"/>
      <c r="D36" s="158" t="str">
        <f>IF(nolevypage17!$D$57&gt;0,nolevypage17!$D$57,"  ")</f>
        <v>  </v>
      </c>
      <c r="E36" s="34"/>
      <c r="F36" s="158" t="str">
        <f>IF(nolevypage17!$E$57&gt;0,nolevypage17!$E$57,"  ")</f>
        <v>  </v>
      </c>
      <c r="G36" s="158"/>
      <c r="H36" s="34"/>
      <c r="J36" s="1050" t="str">
        <f>CONCATENATE("Want The Mill Rate The Same As For ",H1-1,"?")</f>
        <v>Want The Mill Rate The Same As For -1?</v>
      </c>
      <c r="K36" s="1051"/>
      <c r="L36" s="1051"/>
      <c r="M36" s="1052"/>
    </row>
    <row r="37" spans="1:13" ht="15.75">
      <c r="A37" s="51" t="str">
        <f>IF(inputPrYr!$B49&gt;"  ",(inputPrYr!$B49),"  ")</f>
        <v>  </v>
      </c>
      <c r="B37" s="158" t="str">
        <f>IF(SinNoLevy18!$C$44&gt;0,SinNoLevy18!$C$44,"  ")</f>
        <v>  </v>
      </c>
      <c r="C37" s="34"/>
      <c r="D37" s="158" t="str">
        <f>IF(SinNoLevy18!$D$44&gt;0,SinNoLevy18!$D$44,"  ")</f>
        <v>  </v>
      </c>
      <c r="E37" s="34"/>
      <c r="F37" s="158" t="str">
        <f>IF(SinNoLevy18!$E$44&gt;0,SinNoLevy18!$E$44,"  ")</f>
        <v>  </v>
      </c>
      <c r="G37" s="158"/>
      <c r="H37" s="34"/>
      <c r="J37" s="462"/>
      <c r="K37" s="456"/>
      <c r="L37" s="456"/>
      <c r="M37" s="463"/>
    </row>
    <row r="38" spans="1:13" ht="15.75">
      <c r="A38" s="51" t="str">
        <f>IF(inputPrYr!$B50&gt;"  ",(inputPrYr!$B50),"  ")</f>
        <v>  </v>
      </c>
      <c r="B38" s="158" t="str">
        <f>IF(SinNoLevy19!$C$44&gt;0,SinNoLevy19!$C$44,"  ")</f>
        <v>  </v>
      </c>
      <c r="C38" s="34"/>
      <c r="D38" s="158" t="str">
        <f>IF(SinNoLevy19!$D$44&gt;0,SinNoLevy19!$D$44,"  ")</f>
        <v>  </v>
      </c>
      <c r="E38" s="34"/>
      <c r="F38" s="158" t="str">
        <f>IF(SinNoLevy19!$E$44&gt;0,SinNoLevy19!$E$44,"  ")</f>
        <v>  </v>
      </c>
      <c r="G38" s="158"/>
      <c r="H38" s="34"/>
      <c r="J38" s="462" t="str">
        <f>CONCATENATE("",H1-1," Mill Rate Was:")</f>
        <v>-1 Mill Rate Was:</v>
      </c>
      <c r="K38" s="456"/>
      <c r="L38" s="456"/>
      <c r="M38" s="464">
        <f>E43</f>
        <v>0</v>
      </c>
    </row>
    <row r="39" spans="1:13" ht="15.75">
      <c r="A39" s="51" t="str">
        <f>IF(inputPrYr!$B51&gt;"  ",(inputPrYr!$B51),"  ")</f>
        <v>  </v>
      </c>
      <c r="B39" s="158" t="str">
        <f>IF(SinNoLevy20!$C$45&gt;0,SinNoLevy20!$C$45,"  ")</f>
        <v>  </v>
      </c>
      <c r="C39" s="34"/>
      <c r="D39" s="158" t="str">
        <f>IF(SinNoLevy20!$D$45&gt;0,SinNoLevy20!$D$45,"  ")</f>
        <v>  </v>
      </c>
      <c r="E39" s="34"/>
      <c r="F39" s="158" t="str">
        <f>IF(SinNoLevy20!$E$45&gt;0,SinNoLevy20!$E$45,"  ")</f>
        <v>  </v>
      </c>
      <c r="G39" s="158"/>
      <c r="H39" s="34"/>
      <c r="J39" s="465" t="str">
        <f>CONCATENATE("",H1," Tax Levy Fund Expenditures Must Be")</f>
        <v>0 Tax Levy Fund Expenditures Must Be</v>
      </c>
      <c r="K39" s="466"/>
      <c r="L39" s="466"/>
      <c r="M39" s="463"/>
    </row>
    <row r="40" spans="1:13" ht="15.75">
      <c r="A40" s="51" t="str">
        <f>IF(inputPrYr!$B52&gt;"  ",(inputPrYr!$B52),"  ")</f>
        <v>  </v>
      </c>
      <c r="B40" s="158" t="str">
        <f>IF(SinNoLevy21!$C$44&gt;0,SinNoLevy21!$C$44,"  ")</f>
        <v>  </v>
      </c>
      <c r="C40" s="34"/>
      <c r="D40" s="158" t="str">
        <f>IF(SinNoLevy21!$D$44&gt;0,SinNoLevy21!$D$44,"  ")</f>
        <v>  </v>
      </c>
      <c r="E40" s="34"/>
      <c r="F40" s="158" t="str">
        <f>IF(SinNoLevy21!$E$44&gt;0,SinNoLevy21!$E$44,"  ")</f>
        <v>  </v>
      </c>
      <c r="G40" s="158"/>
      <c r="H40" s="34"/>
      <c r="J40" s="465">
        <f>IF(M40&gt;0,"Increased By:","")</f>
      </c>
      <c r="K40" s="466"/>
      <c r="L40" s="466"/>
      <c r="M40" s="505">
        <f>IF(M47&lt;0,M47*-1,0)</f>
        <v>0</v>
      </c>
    </row>
    <row r="41" spans="1:13" ht="15.75">
      <c r="A41" s="51" t="str">
        <f>IF(inputPrYr!$B56&gt;" ",(NonBudA!$A3),"  ")</f>
        <v>  </v>
      </c>
      <c r="B41" s="158" t="str">
        <f>IF(NonBudA!$K$28&gt;0,NonBudA!$K$28,"  ")</f>
        <v>  </v>
      </c>
      <c r="C41" s="34"/>
      <c r="D41" s="158"/>
      <c r="E41" s="34"/>
      <c r="F41" s="158"/>
      <c r="G41" s="158"/>
      <c r="H41" s="34"/>
      <c r="J41" s="506">
        <f>IF(M41&lt;0,"Reduced By:","")</f>
      </c>
      <c r="K41" s="507"/>
      <c r="L41" s="507"/>
      <c r="M41" s="508">
        <f>IF(M47&gt;0,M47*-1,0)</f>
        <v>0</v>
      </c>
    </row>
    <row r="42" spans="1:13" ht="15.75">
      <c r="A42" s="51" t="str">
        <f>IF(inputPrYr!$B62&gt;" ",(NonBudB!$A3),"  ")</f>
        <v>  </v>
      </c>
      <c r="B42" s="376" t="str">
        <f>IF(NonBudB!$K$28&gt;0,NonBudB!$K$28,"  ")</f>
        <v>  </v>
      </c>
      <c r="C42" s="107"/>
      <c r="D42" s="376"/>
      <c r="E42" s="107"/>
      <c r="F42" s="376"/>
      <c r="G42" s="376"/>
      <c r="H42" s="107"/>
      <c r="J42" s="469"/>
      <c r="K42" s="469"/>
      <c r="L42" s="469"/>
      <c r="M42" s="469"/>
    </row>
    <row r="43" spans="1:13" ht="15.75">
      <c r="A43" s="98" t="s">
        <v>711</v>
      </c>
      <c r="B43" s="343">
        <f>SUM(B16:B42)</f>
        <v>0</v>
      </c>
      <c r="C43" s="347">
        <f>SUM(C16:C28)</f>
        <v>0</v>
      </c>
      <c r="D43" s="343">
        <f>SUM(D16:D42)</f>
        <v>0</v>
      </c>
      <c r="E43" s="347">
        <f>SUM(E16:E28)</f>
        <v>0</v>
      </c>
      <c r="F43" s="343">
        <f>SUM(F16:F42)</f>
        <v>0</v>
      </c>
      <c r="G43" s="343">
        <f>SUM(G16:G42)</f>
        <v>0</v>
      </c>
      <c r="H43" s="370">
        <f>SUM(H16:H28)</f>
        <v>0</v>
      </c>
      <c r="J43" s="1050" t="str">
        <f>CONCATENATE("Impact On Keeping The Same Mill Rate As For ",H1-1,"")</f>
        <v>Impact On Keeping The Same Mill Rate As For -1</v>
      </c>
      <c r="K43" s="1055"/>
      <c r="L43" s="1055"/>
      <c r="M43" s="1056"/>
    </row>
    <row r="44" spans="1:13" ht="15.75">
      <c r="A44" s="19" t="s">
        <v>50</v>
      </c>
      <c r="B44" s="375">
        <f>transfers!C28</f>
        <v>0</v>
      </c>
      <c r="C44" s="477"/>
      <c r="D44" s="375">
        <f>transfers!D28</f>
        <v>0</v>
      </c>
      <c r="E44" s="477"/>
      <c r="F44" s="375">
        <f>transfers!E28</f>
        <v>0</v>
      </c>
      <c r="G44" s="44"/>
      <c r="H44" s="38"/>
      <c r="I44" s="453"/>
      <c r="J44" s="462"/>
      <c r="K44" s="456"/>
      <c r="L44" s="456"/>
      <c r="M44" s="463"/>
    </row>
    <row r="45" spans="1:13" ht="16.5" thickBot="1">
      <c r="A45" s="19" t="s">
        <v>51</v>
      </c>
      <c r="B45" s="344">
        <f>B43-B44</f>
        <v>0</v>
      </c>
      <c r="C45" s="16"/>
      <c r="D45" s="344">
        <f>D43-D44</f>
        <v>0</v>
      </c>
      <c r="E45" s="16"/>
      <c r="F45" s="344">
        <f>F43-F44</f>
        <v>0</v>
      </c>
      <c r="G45" s="16"/>
      <c r="H45" s="16"/>
      <c r="J45" s="462" t="str">
        <f>CONCATENATE("",H1," Ad Valorem Tax Revenue:")</f>
        <v>0 Ad Valorem Tax Revenue:</v>
      </c>
      <c r="K45" s="456"/>
      <c r="L45" s="456"/>
      <c r="M45" s="457">
        <f>G43</f>
        <v>0</v>
      </c>
    </row>
    <row r="46" spans="1:13" ht="16.5" thickTop="1">
      <c r="A46" s="19" t="s">
        <v>52</v>
      </c>
      <c r="B46" s="375">
        <f>inputPrYr!E84</f>
        <v>0</v>
      </c>
      <c r="C46" s="124"/>
      <c r="D46" s="375">
        <f>inputPrYr!E36</f>
        <v>0</v>
      </c>
      <c r="E46" s="124"/>
      <c r="F46" s="268" t="s">
        <v>13</v>
      </c>
      <c r="G46" s="16"/>
      <c r="H46" s="16"/>
      <c r="J46" s="462" t="str">
        <f>CONCATENATE("",H1-1," Ad Valorem Tax Revenue:")</f>
        <v>-1 Ad Valorem Tax Revenue:</v>
      </c>
      <c r="K46" s="456"/>
      <c r="L46" s="456"/>
      <c r="M46" s="470">
        <f>ROUND(F48*M38/1000,0)</f>
        <v>0</v>
      </c>
    </row>
    <row r="47" spans="1:13" ht="15.75">
      <c r="A47" s="19" t="s">
        <v>53</v>
      </c>
      <c r="B47" s="376"/>
      <c r="C47" s="16"/>
      <c r="D47" s="376"/>
      <c r="E47" s="136"/>
      <c r="F47" s="107"/>
      <c r="G47" s="16"/>
      <c r="H47" s="16"/>
      <c r="J47" s="467" t="s">
        <v>704</v>
      </c>
      <c r="K47" s="468"/>
      <c r="L47" s="468"/>
      <c r="M47" s="460">
        <f>SUM(M45-M46)</f>
        <v>0</v>
      </c>
    </row>
    <row r="48" spans="1:13" ht="15.75">
      <c r="A48" s="19" t="s">
        <v>54</v>
      </c>
      <c r="B48" s="375">
        <f>inputPrYr!E85</f>
        <v>0</v>
      </c>
      <c r="C48" s="46"/>
      <c r="D48" s="375">
        <f>inputOth!E37</f>
        <v>0</v>
      </c>
      <c r="E48" s="46"/>
      <c r="F48" s="375">
        <f>inputOth!E7</f>
        <v>0</v>
      </c>
      <c r="G48" s="16"/>
      <c r="H48" s="16"/>
      <c r="J48" s="461"/>
      <c r="K48" s="461"/>
      <c r="L48" s="461"/>
      <c r="M48" s="469"/>
    </row>
    <row r="49" spans="1:13" ht="15.75">
      <c r="A49" s="19" t="s">
        <v>55</v>
      </c>
      <c r="B49" s="16"/>
      <c r="C49" s="16"/>
      <c r="D49" s="16"/>
      <c r="E49" s="16"/>
      <c r="F49" s="16"/>
      <c r="G49" s="16"/>
      <c r="H49" s="16"/>
      <c r="J49" s="1050" t="s">
        <v>705</v>
      </c>
      <c r="K49" s="1053"/>
      <c r="L49" s="1053"/>
      <c r="M49" s="1054"/>
    </row>
    <row r="50" spans="1:13" ht="15.75">
      <c r="A50" s="19" t="s">
        <v>56</v>
      </c>
      <c r="B50" s="269">
        <f>$H$1-3</f>
        <v>-3</v>
      </c>
      <c r="C50" s="16"/>
      <c r="D50" s="269">
        <f>$H$1-2</f>
        <v>-2</v>
      </c>
      <c r="E50" s="16"/>
      <c r="F50" s="269">
        <f>$H$1-1</f>
        <v>-1</v>
      </c>
      <c r="G50" s="16"/>
      <c r="H50" s="16"/>
      <c r="J50" s="462"/>
      <c r="K50" s="456"/>
      <c r="L50" s="456"/>
      <c r="M50" s="463"/>
    </row>
    <row r="51" spans="1:13" ht="15.75">
      <c r="A51" s="19" t="s">
        <v>57</v>
      </c>
      <c r="B51" s="148">
        <f>inputPrYr!D88</f>
        <v>0</v>
      </c>
      <c r="C51" s="16"/>
      <c r="D51" s="148">
        <f>inputPrYr!E88</f>
        <v>0</v>
      </c>
      <c r="E51" s="16"/>
      <c r="F51" s="148">
        <f>debt!G20</f>
        <v>0</v>
      </c>
      <c r="G51" s="16"/>
      <c r="H51" s="16"/>
      <c r="J51" s="462" t="str">
        <f>CONCATENATE("Current ",H1," Estimated Mill Rate:")</f>
        <v>Current 0 Estimated Mill Rate:</v>
      </c>
      <c r="K51" s="456"/>
      <c r="L51" s="456"/>
      <c r="M51" s="464">
        <f>H43</f>
        <v>0</v>
      </c>
    </row>
    <row r="52" spans="1:13" ht="15.75">
      <c r="A52" s="19" t="s">
        <v>58</v>
      </c>
      <c r="B52" s="148">
        <f>inputPrYr!D89</f>
        <v>0</v>
      </c>
      <c r="C52" s="16"/>
      <c r="D52" s="148">
        <f>inputPrYr!E89</f>
        <v>0</v>
      </c>
      <c r="E52" s="16"/>
      <c r="F52" s="148">
        <f>debt!G32</f>
        <v>0</v>
      </c>
      <c r="G52" s="16"/>
      <c r="H52" s="16"/>
      <c r="J52" s="462" t="str">
        <f>CONCATENATE("Desired ",H1," Mill Rate:")</f>
        <v>Desired 0 Mill Rate:</v>
      </c>
      <c r="K52" s="456"/>
      <c r="L52" s="456"/>
      <c r="M52" s="454">
        <v>0</v>
      </c>
    </row>
    <row r="53" spans="1:13" ht="15.75">
      <c r="A53" s="16" t="s">
        <v>76</v>
      </c>
      <c r="B53" s="148">
        <f>inputPrYr!D90</f>
        <v>0</v>
      </c>
      <c r="C53" s="16"/>
      <c r="D53" s="148">
        <f>inputPrYr!E90</f>
        <v>0</v>
      </c>
      <c r="E53" s="16"/>
      <c r="F53" s="148">
        <f>debt!G42</f>
        <v>0</v>
      </c>
      <c r="G53" s="16"/>
      <c r="H53" s="16"/>
      <c r="J53" s="462" t="s">
        <v>706</v>
      </c>
      <c r="K53" s="456"/>
      <c r="L53" s="456"/>
      <c r="M53" s="470">
        <f>ROUND(F48*M52/1000,0)</f>
        <v>0</v>
      </c>
    </row>
    <row r="54" spans="1:13" ht="15.75">
      <c r="A54" s="19" t="s">
        <v>140</v>
      </c>
      <c r="B54" s="148">
        <f>inputPrYr!D91</f>
        <v>0</v>
      </c>
      <c r="C54" s="16"/>
      <c r="D54" s="148">
        <f>inputPrYr!E91</f>
        <v>0</v>
      </c>
      <c r="E54" s="16"/>
      <c r="F54" s="148">
        <f>lpform!G28</f>
        <v>0</v>
      </c>
      <c r="G54" s="16"/>
      <c r="H54" s="16"/>
      <c r="J54" s="467" t="str">
        <f>CONCATENATE("",H1," Tax Levy Fund Exp. Changed By:")</f>
        <v>0 Tax Levy Fund Exp. Changed By:</v>
      </c>
      <c r="K54" s="468"/>
      <c r="L54" s="468"/>
      <c r="M54" s="460">
        <f>IF(M52=0,0,(M53-G43))</f>
        <v>0</v>
      </c>
    </row>
    <row r="55" spans="1:8" ht="16.5" thickBot="1">
      <c r="A55" s="19" t="s">
        <v>59</v>
      </c>
      <c r="B55" s="471">
        <f>SUM(B51:B54)</f>
        <v>0</v>
      </c>
      <c r="C55" s="16"/>
      <c r="D55" s="471">
        <f>SUM(D51:D54)</f>
        <v>0</v>
      </c>
      <c r="E55" s="16"/>
      <c r="F55" s="471">
        <f>SUM(F51:F54)</f>
        <v>0</v>
      </c>
      <c r="G55" s="16"/>
      <c r="H55" s="16"/>
    </row>
    <row r="56" spans="1:8" ht="16.5" thickTop="1">
      <c r="A56" s="19" t="s">
        <v>60</v>
      </c>
      <c r="B56" s="16"/>
      <c r="C56" s="16"/>
      <c r="D56" s="16"/>
      <c r="E56" s="16"/>
      <c r="F56" s="16"/>
      <c r="G56" s="16"/>
      <c r="H56" s="16"/>
    </row>
    <row r="57" spans="1:8" ht="15.75">
      <c r="A57" s="16"/>
      <c r="B57" s="16"/>
      <c r="C57" s="16"/>
      <c r="D57" s="16"/>
      <c r="E57" s="16"/>
      <c r="F57" s="16"/>
      <c r="G57" s="16"/>
      <c r="H57" s="16"/>
    </row>
    <row r="58" spans="1:8" ht="15.75">
      <c r="A58" s="1057">
        <f>inputBudSum!B3</f>
        <v>0</v>
      </c>
      <c r="B58" s="1058"/>
      <c r="C58" s="16"/>
      <c r="D58" s="16"/>
      <c r="E58" s="16"/>
      <c r="F58" s="16"/>
      <c r="G58" s="16"/>
      <c r="H58" s="16"/>
    </row>
    <row r="59" spans="1:8" ht="15.75">
      <c r="A59" s="120" t="s">
        <v>188</v>
      </c>
      <c r="B59" s="605">
        <f>inputBudSum!B5</f>
        <v>0</v>
      </c>
      <c r="C59" s="351"/>
      <c r="D59" s="16"/>
      <c r="E59" s="16"/>
      <c r="F59" s="16"/>
      <c r="G59" s="16"/>
      <c r="H59" s="16"/>
    </row>
    <row r="60" spans="1:8" ht="15.75">
      <c r="A60" s="16"/>
      <c r="B60" s="16"/>
      <c r="C60" s="16"/>
      <c r="D60" s="16"/>
      <c r="E60" s="16"/>
      <c r="F60" s="16"/>
      <c r="G60" s="16"/>
      <c r="H60" s="16"/>
    </row>
    <row r="61" spans="1:8" ht="15.75">
      <c r="A61" s="16"/>
      <c r="B61" s="16"/>
      <c r="C61" s="93" t="s">
        <v>34</v>
      </c>
      <c r="D61" s="711"/>
      <c r="E61" s="16"/>
      <c r="F61" s="16"/>
      <c r="G61" s="16"/>
      <c r="H61" s="16"/>
    </row>
  </sheetData>
  <sheetProtection sheet="1"/>
  <mergeCells count="11">
    <mergeCell ref="A2:H2"/>
    <mergeCell ref="A5:H5"/>
    <mergeCell ref="A7:H7"/>
    <mergeCell ref="A8:H8"/>
    <mergeCell ref="A4:H4"/>
    <mergeCell ref="A6:H6"/>
    <mergeCell ref="J32:M32"/>
    <mergeCell ref="J36:M36"/>
    <mergeCell ref="J49:M49"/>
    <mergeCell ref="J43:M43"/>
    <mergeCell ref="A58:B58"/>
  </mergeCells>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S99" sqref="S99"/>
    </sheetView>
  </sheetViews>
  <sheetFormatPr defaultColWidth="8.796875" defaultRowHeight="15"/>
  <cols>
    <col min="1" max="1" width="10.796875" style="64" customWidth="1"/>
    <col min="2" max="2" width="15.59765625" style="64" customWidth="1"/>
    <col min="3" max="4" width="12.796875" style="64" customWidth="1"/>
    <col min="5" max="5" width="11.796875" style="64" customWidth="1"/>
    <col min="6" max="16384" width="8.8984375" style="64" customWidth="1"/>
  </cols>
  <sheetData>
    <row r="1" spans="1:6" ht="15.75">
      <c r="A1" s="124">
        <f>inputPrYr!D3</f>
        <v>0</v>
      </c>
      <c r="B1" s="16"/>
      <c r="C1" s="16"/>
      <c r="D1" s="16"/>
      <c r="E1" s="16"/>
      <c r="F1" s="16">
        <f>inputPrYr!C6</f>
        <v>0</v>
      </c>
    </row>
    <row r="2" spans="1:6" ht="15.75">
      <c r="A2" s="16"/>
      <c r="B2" s="16"/>
      <c r="C2" s="16"/>
      <c r="D2" s="16"/>
      <c r="E2" s="16"/>
      <c r="F2" s="16"/>
    </row>
    <row r="3" spans="1:6" ht="15.75">
      <c r="A3" s="16"/>
      <c r="B3" s="994" t="str">
        <f>CONCATENATE("",F1," Neighborhood Revitalization Rebate")</f>
        <v>0 Neighborhood Revitalization Rebate</v>
      </c>
      <c r="C3" s="1062"/>
      <c r="D3" s="1062"/>
      <c r="E3" s="1062"/>
      <c r="F3" s="16"/>
    </row>
    <row r="4" spans="1:6" ht="15.75">
      <c r="A4" s="16"/>
      <c r="B4" s="16"/>
      <c r="C4" s="16"/>
      <c r="D4" s="16"/>
      <c r="E4" s="16"/>
      <c r="F4" s="59"/>
    </row>
    <row r="5" spans="1:6" ht="51.75" customHeight="1">
      <c r="A5" s="16"/>
      <c r="B5" s="271" t="str">
        <f>CONCATENATE("Budgeted Funds          for ",F1,"")</f>
        <v>Budgeted Funds          for 0</v>
      </c>
      <c r="C5" s="271" t="str">
        <f>CONCATENATE("",F1-1," Ad Valorem before Rebate**")</f>
        <v>-1 Ad Valorem before Rebate**</v>
      </c>
      <c r="D5" s="272" t="str">
        <f>CONCATENATE("",F1-1," Mil Rate before Rebate")</f>
        <v>-1 Mil Rate before Rebate</v>
      </c>
      <c r="E5" s="273" t="str">
        <f>CONCATENATE("Estimate ",F1," NR Rebate")</f>
        <v>Estimate 0 NR Rebate</v>
      </c>
      <c r="F5" s="59"/>
    </row>
    <row r="6" spans="1:6" ht="18" customHeight="1">
      <c r="A6" s="16"/>
      <c r="B6" s="33" t="s">
        <v>300</v>
      </c>
      <c r="C6" s="274"/>
      <c r="D6" s="275">
        <f>IF(C6&gt;0,C6/$D$24,"")</f>
      </c>
      <c r="E6" s="148">
        <f aca="true" t="shared" si="0" ref="E6:E18">IF(C6&gt;0,ROUND(D6*$D$28,0),0)</f>
        <v>0</v>
      </c>
      <c r="F6" s="59"/>
    </row>
    <row r="7" spans="1:6" ht="15.75">
      <c r="A7" s="16"/>
      <c r="B7" s="33" t="str">
        <f>inputPrYr!B23</f>
        <v>Debt Service</v>
      </c>
      <c r="C7" s="274"/>
      <c r="D7" s="275">
        <f aca="true" t="shared" si="1" ref="D7:D17">IF(C7&gt;0,C7/$D$24,"")</f>
      </c>
      <c r="E7" s="148">
        <f t="shared" si="0"/>
        <v>0</v>
      </c>
      <c r="F7" s="59"/>
    </row>
    <row r="8" spans="1:6" ht="15.75">
      <c r="A8" s="16"/>
      <c r="B8" s="51" t="str">
        <f>IF((inputPrYr!$B24&gt;"  "),(inputPrYr!$B24),"  ")</f>
        <v>Library</v>
      </c>
      <c r="C8" s="274"/>
      <c r="D8" s="275">
        <f t="shared" si="1"/>
      </c>
      <c r="E8" s="148">
        <f t="shared" si="0"/>
        <v>0</v>
      </c>
      <c r="F8" s="59"/>
    </row>
    <row r="9" spans="1:6" ht="15.75">
      <c r="A9" s="16"/>
      <c r="B9" s="51" t="str">
        <f>IF((inputPrYr!$B26&gt;"  "),(inputPrYr!$B26),"  ")</f>
        <v>  </v>
      </c>
      <c r="C9" s="274"/>
      <c r="D9" s="275">
        <f t="shared" si="1"/>
      </c>
      <c r="E9" s="148">
        <f t="shared" si="0"/>
        <v>0</v>
      </c>
      <c r="F9" s="59"/>
    </row>
    <row r="10" spans="1:6" ht="15.75">
      <c r="A10" s="16"/>
      <c r="B10" s="51" t="str">
        <f>IF((inputPrYr!$B27&gt;"  "),(inputPrYr!$B27),"  ")</f>
        <v>  </v>
      </c>
      <c r="C10" s="274"/>
      <c r="D10" s="275">
        <f t="shared" si="1"/>
      </c>
      <c r="E10" s="148">
        <f t="shared" si="0"/>
        <v>0</v>
      </c>
      <c r="F10" s="59"/>
    </row>
    <row r="11" spans="1:6" ht="15.75">
      <c r="A11" s="16"/>
      <c r="B11" s="51" t="str">
        <f>IF((inputPrYr!$B28&gt;"  "),(inputPrYr!$B28),"  ")</f>
        <v>  </v>
      </c>
      <c r="C11" s="274"/>
      <c r="D11" s="275">
        <f t="shared" si="1"/>
      </c>
      <c r="E11" s="148">
        <f t="shared" si="0"/>
        <v>0</v>
      </c>
      <c r="F11" s="59"/>
    </row>
    <row r="12" spans="1:6" ht="15.75">
      <c r="A12" s="16"/>
      <c r="B12" s="51" t="str">
        <f>IF((inputPrYr!$B29&gt;"  "),(inputPrYr!$B29),"  ")</f>
        <v>  </v>
      </c>
      <c r="C12" s="276"/>
      <c r="D12" s="275">
        <f t="shared" si="1"/>
      </c>
      <c r="E12" s="148">
        <f t="shared" si="0"/>
        <v>0</v>
      </c>
      <c r="F12" s="59"/>
    </row>
    <row r="13" spans="1:6" ht="15.75">
      <c r="A13" s="16"/>
      <c r="B13" s="51" t="str">
        <f>IF((inputPrYr!$B30&gt;"  "),(inputPrYr!$B30),"  ")</f>
        <v>  </v>
      </c>
      <c r="C13" s="276"/>
      <c r="D13" s="275">
        <f t="shared" si="1"/>
      </c>
      <c r="E13" s="148">
        <f t="shared" si="0"/>
        <v>0</v>
      </c>
      <c r="F13" s="59"/>
    </row>
    <row r="14" spans="1:6" ht="15.75">
      <c r="A14" s="16"/>
      <c r="B14" s="51" t="str">
        <f>IF((inputPrYr!$B31&gt;"  "),(inputPrYr!$B31),"  ")</f>
        <v>  </v>
      </c>
      <c r="C14" s="276"/>
      <c r="D14" s="275">
        <f t="shared" si="1"/>
      </c>
      <c r="E14" s="148">
        <f t="shared" si="0"/>
        <v>0</v>
      </c>
      <c r="F14" s="59"/>
    </row>
    <row r="15" spans="1:6" ht="15.75">
      <c r="A15" s="16"/>
      <c r="B15" s="51" t="str">
        <f>IF((inputPrYr!$B32&gt;"  "),(inputPrYr!$B32),"  ")</f>
        <v>  </v>
      </c>
      <c r="C15" s="276"/>
      <c r="D15" s="275">
        <f t="shared" si="1"/>
      </c>
      <c r="E15" s="148">
        <f t="shared" si="0"/>
        <v>0</v>
      </c>
      <c r="F15" s="59"/>
    </row>
    <row r="16" spans="1:6" ht="15.75">
      <c r="A16" s="16"/>
      <c r="B16" s="51" t="str">
        <f>IF((inputPrYr!$B33&gt;"  "),(inputPrYr!$B33),"  ")</f>
        <v>  </v>
      </c>
      <c r="C16" s="276"/>
      <c r="D16" s="275">
        <f t="shared" si="1"/>
      </c>
      <c r="E16" s="148">
        <f t="shared" si="0"/>
        <v>0</v>
      </c>
      <c r="F16" s="59"/>
    </row>
    <row r="17" spans="1:6" ht="15.75">
      <c r="A17" s="16"/>
      <c r="B17" s="51" t="str">
        <f>IF((inputPrYr!$B34&gt;"  "),(inputPrYr!$B34),"  ")</f>
        <v>  </v>
      </c>
      <c r="C17" s="276"/>
      <c r="D17" s="275">
        <f t="shared" si="1"/>
      </c>
      <c r="E17" s="148">
        <f t="shared" si="0"/>
        <v>0</v>
      </c>
      <c r="F17" s="59"/>
    </row>
    <row r="18" spans="1:6" ht="15.75">
      <c r="A18" s="16"/>
      <c r="B18" s="51" t="str">
        <f>IF((inputPrYr!$B35&gt;"  "),(inputPrYr!$B35),"  ")</f>
        <v>  </v>
      </c>
      <c r="C18" s="276"/>
      <c r="D18" s="275">
        <f>IF(C18&gt;0,C18/$D$24,"")</f>
      </c>
      <c r="E18" s="148">
        <f t="shared" si="0"/>
        <v>0</v>
      </c>
      <c r="F18" s="59"/>
    </row>
    <row r="19" spans="1:6" ht="17.25" customHeight="1" thickBot="1">
      <c r="A19" s="16"/>
      <c r="B19" s="34" t="s">
        <v>19</v>
      </c>
      <c r="C19" s="277">
        <f>SUM(C6:C18)</f>
        <v>0</v>
      </c>
      <c r="D19" s="278">
        <f>SUM(D6:D18)</f>
        <v>0</v>
      </c>
      <c r="E19" s="277">
        <f>SUM(E6:E18)</f>
        <v>0</v>
      </c>
      <c r="F19" s="59"/>
    </row>
    <row r="20" spans="1:6" ht="16.5" thickTop="1">
      <c r="A20" s="16"/>
      <c r="B20" s="16"/>
      <c r="C20" s="16"/>
      <c r="D20" s="16"/>
      <c r="E20" s="16"/>
      <c r="F20" s="59"/>
    </row>
    <row r="21" spans="1:6" ht="15.75">
      <c r="A21" s="16"/>
      <c r="B21" s="16"/>
      <c r="C21" s="16"/>
      <c r="D21" s="16"/>
      <c r="E21" s="16"/>
      <c r="F21" s="59"/>
    </row>
    <row r="22" spans="1:6" ht="18.75" customHeight="1">
      <c r="A22" s="1063" t="str">
        <f>CONCATENATE("",F1-1," July 1 Valuation:")</f>
        <v>-1 July 1 Valuation:</v>
      </c>
      <c r="B22" s="1029"/>
      <c r="C22" s="1063"/>
      <c r="D22" s="270">
        <f>inputOth!E7</f>
        <v>0</v>
      </c>
      <c r="E22" s="16"/>
      <c r="F22" s="59"/>
    </row>
    <row r="23" spans="1:6" ht="15.75">
      <c r="A23" s="16"/>
      <c r="B23" s="16"/>
      <c r="C23" s="16"/>
      <c r="D23" s="16"/>
      <c r="E23" s="16"/>
      <c r="F23" s="59"/>
    </row>
    <row r="24" spans="1:6" ht="15.75">
      <c r="A24" s="16"/>
      <c r="B24" s="1063" t="s">
        <v>331</v>
      </c>
      <c r="C24" s="1063"/>
      <c r="D24" s="279">
        <f>IF(D22&gt;0,(D22*0.001),"")</f>
      </c>
      <c r="E24" s="16"/>
      <c r="F24" s="59"/>
    </row>
    <row r="25" spans="1:6" ht="15.75">
      <c r="A25" s="16"/>
      <c r="B25" s="93"/>
      <c r="C25" s="93"/>
      <c r="D25" s="280"/>
      <c r="E25" s="16"/>
      <c r="F25" s="59"/>
    </row>
    <row r="26" spans="1:6" ht="15.75">
      <c r="A26" s="1061" t="s">
        <v>332</v>
      </c>
      <c r="B26" s="991"/>
      <c r="C26" s="991"/>
      <c r="D26" s="281">
        <f>inputOth!E18</f>
        <v>0</v>
      </c>
      <c r="E26" s="66"/>
      <c r="F26" s="66"/>
    </row>
    <row r="27" spans="1:6" ht="15">
      <c r="A27" s="66"/>
      <c r="B27" s="66"/>
      <c r="C27" s="66"/>
      <c r="D27" s="282"/>
      <c r="E27" s="66"/>
      <c r="F27" s="66"/>
    </row>
    <row r="28" spans="1:6" ht="15.75">
      <c r="A28" s="66"/>
      <c r="B28" s="1061" t="s">
        <v>333</v>
      </c>
      <c r="C28" s="1029"/>
      <c r="D28" s="283">
        <f>IF(D26&gt;0,(D26*0.001),"")</f>
      </c>
      <c r="E28" s="66"/>
      <c r="F28" s="66"/>
    </row>
    <row r="29" spans="1:6" ht="15">
      <c r="A29" s="66"/>
      <c r="B29" s="66"/>
      <c r="C29" s="66"/>
      <c r="D29" s="66"/>
      <c r="E29" s="66"/>
      <c r="F29" s="66"/>
    </row>
    <row r="30" spans="1:6" ht="15">
      <c r="A30" s="66"/>
      <c r="B30" s="66"/>
      <c r="C30" s="66"/>
      <c r="D30" s="66"/>
      <c r="E30" s="66"/>
      <c r="F30" s="66"/>
    </row>
    <row r="31" spans="1:6" ht="15">
      <c r="A31" s="66"/>
      <c r="B31" s="66"/>
      <c r="C31" s="66"/>
      <c r="D31" s="66"/>
      <c r="E31" s="66"/>
      <c r="F31" s="66"/>
    </row>
    <row r="32" spans="1:6" ht="15.75">
      <c r="A32" s="308" t="str">
        <f>CONCATENATE("**This information comes from the ",F1," Budget Summary page.  See instructions tab #13 for completing")</f>
        <v>**This information comes from the 0 Budget Summary page.  See instructions tab #13 for completing</v>
      </c>
      <c r="B32" s="66"/>
      <c r="C32" s="66"/>
      <c r="D32" s="66"/>
      <c r="E32" s="66"/>
      <c r="F32" s="66"/>
    </row>
    <row r="33" spans="1:6" ht="15.75">
      <c r="A33" s="308" t="s">
        <v>570</v>
      </c>
      <c r="B33" s="66"/>
      <c r="C33" s="66"/>
      <c r="D33" s="66"/>
      <c r="E33" s="66"/>
      <c r="F33" s="66"/>
    </row>
    <row r="34" spans="1:6" ht="15.75">
      <c r="A34" s="308"/>
      <c r="B34" s="66"/>
      <c r="C34" s="66"/>
      <c r="D34" s="66"/>
      <c r="E34" s="66"/>
      <c r="F34" s="66"/>
    </row>
    <row r="35" spans="1:6" ht="15.75">
      <c r="A35" s="308"/>
      <c r="B35" s="66"/>
      <c r="C35" s="66"/>
      <c r="D35" s="66"/>
      <c r="E35" s="66"/>
      <c r="F35" s="66"/>
    </row>
    <row r="36" spans="1:6" ht="15.75">
      <c r="A36" s="308"/>
      <c r="B36" s="66"/>
      <c r="C36" s="66"/>
      <c r="D36" s="66"/>
      <c r="E36" s="66"/>
      <c r="F36" s="66"/>
    </row>
    <row r="37" spans="1:6" ht="15.75">
      <c r="A37" s="308"/>
      <c r="B37" s="66"/>
      <c r="C37" s="66"/>
      <c r="D37" s="66"/>
      <c r="E37" s="66"/>
      <c r="F37" s="66"/>
    </row>
    <row r="38" spans="1:6" ht="15.75">
      <c r="A38" s="308"/>
      <c r="B38" s="66"/>
      <c r="C38" s="66"/>
      <c r="D38" s="66"/>
      <c r="E38" s="66"/>
      <c r="F38" s="66"/>
    </row>
    <row r="39" spans="1:6" ht="15">
      <c r="A39" s="66"/>
      <c r="B39" s="66"/>
      <c r="C39" s="66"/>
      <c r="D39" s="66"/>
      <c r="E39" s="66"/>
      <c r="F39" s="66"/>
    </row>
    <row r="40" spans="1:6" ht="15.75">
      <c r="A40" s="66"/>
      <c r="B40" s="209" t="s">
        <v>42</v>
      </c>
      <c r="C40" s="711"/>
      <c r="D40" s="66"/>
      <c r="E40" s="66"/>
      <c r="F40" s="66"/>
    </row>
    <row r="41" spans="1:6" ht="15.75">
      <c r="A41" s="59"/>
      <c r="B41" s="16"/>
      <c r="C41" s="16"/>
      <c r="D41" s="38"/>
      <c r="E41" s="59"/>
      <c r="F41" s="59"/>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30" sqref="N130"/>
    </sheetView>
  </sheetViews>
  <sheetFormatPr defaultColWidth="8.796875" defaultRowHeight="15"/>
  <cols>
    <col min="1" max="1" width="71.296875" style="0" customWidth="1"/>
  </cols>
  <sheetData>
    <row r="3" spans="1:12" ht="15">
      <c r="A3" s="295" t="s">
        <v>353</v>
      </c>
      <c r="B3" s="295"/>
      <c r="C3" s="295"/>
      <c r="D3" s="295"/>
      <c r="E3" s="295"/>
      <c r="F3" s="295"/>
      <c r="G3" s="295"/>
      <c r="H3" s="295"/>
      <c r="I3" s="295"/>
      <c r="J3" s="295"/>
      <c r="K3" s="295"/>
      <c r="L3" s="295"/>
    </row>
    <row r="5" ht="15">
      <c r="A5" s="296" t="s">
        <v>354</v>
      </c>
    </row>
    <row r="6" ht="15">
      <c r="A6" s="296" t="str">
        <f>CONCATENATE(inputPrYr!C6-2," 'total expenditures' exceed your ",inputPrYr!C6-2," 'budget authority.'")</f>
        <v>-2 'total expenditures' exceed your -2 'budget authority.'</v>
      </c>
    </row>
    <row r="7" ht="15">
      <c r="A7" s="296"/>
    </row>
    <row r="8" ht="15">
      <c r="A8" s="296" t="s">
        <v>355</v>
      </c>
    </row>
    <row r="9" ht="15">
      <c r="A9" s="296" t="s">
        <v>356</v>
      </c>
    </row>
    <row r="10" ht="15">
      <c r="A10" s="296" t="s">
        <v>357</v>
      </c>
    </row>
    <row r="11" ht="15">
      <c r="A11" s="296"/>
    </row>
    <row r="12" ht="15">
      <c r="A12" s="296"/>
    </row>
    <row r="13" ht="15">
      <c r="A13" s="297" t="s">
        <v>358</v>
      </c>
    </row>
    <row r="15" ht="15">
      <c r="A15" s="296" t="s">
        <v>359</v>
      </c>
    </row>
    <row r="16" ht="15">
      <c r="A16" s="296" t="str">
        <f>CONCATENATE("(i.e. an audit has not been completed, or the ",inputPrYr!C6," adopted")</f>
        <v>(i.e. an audit has not been completed, or the  adopted</v>
      </c>
    </row>
    <row r="17" ht="15">
      <c r="A17" s="296" t="s">
        <v>360</v>
      </c>
    </row>
    <row r="18" ht="15">
      <c r="A18" s="296" t="s">
        <v>361</v>
      </c>
    </row>
    <row r="19" ht="15">
      <c r="A19" s="296" t="s">
        <v>362</v>
      </c>
    </row>
    <row r="21" ht="15">
      <c r="A21" s="297" t="s">
        <v>363</v>
      </c>
    </row>
    <row r="22" ht="15">
      <c r="A22" s="297"/>
    </row>
    <row r="23" ht="15">
      <c r="A23" s="296" t="s">
        <v>364</v>
      </c>
    </row>
    <row r="24" ht="15">
      <c r="A24" s="296" t="s">
        <v>365</v>
      </c>
    </row>
    <row r="25" ht="15">
      <c r="A25" s="296" t="str">
        <f>CONCATENATE("particular fund.  If your ",inputPrYr!C6-2," budget was amended, did you")</f>
        <v>particular fund.  If your -2 budget was amended, did you</v>
      </c>
    </row>
    <row r="26" ht="15">
      <c r="A26" s="296" t="s">
        <v>366</v>
      </c>
    </row>
    <row r="27" ht="15">
      <c r="A27" s="296"/>
    </row>
    <row r="28" ht="15">
      <c r="A28" s="296" t="str">
        <f>CONCATENATE("Next, look to see if any of your ",inputPrYr!C6-2," expenditures can be")</f>
        <v>Next, look to see if any of your -2 expenditures can be</v>
      </c>
    </row>
    <row r="29" ht="15">
      <c r="A29" s="296" t="s">
        <v>367</v>
      </c>
    </row>
    <row r="30" ht="15">
      <c r="A30" s="296" t="s">
        <v>368</v>
      </c>
    </row>
    <row r="31" ht="15">
      <c r="A31" s="296" t="s">
        <v>369</v>
      </c>
    </row>
    <row r="32" ht="15">
      <c r="A32" s="296"/>
    </row>
    <row r="33" ht="15">
      <c r="A33" s="296" t="str">
        <f>CONCATENATE("Additionally, do your ",inputPrYr!C6-2," receipts contain a reimbursement")</f>
        <v>Additionally, do your -2 receipts contain a reimbursement</v>
      </c>
    </row>
    <row r="34" ht="15">
      <c r="A34" s="296" t="s">
        <v>370</v>
      </c>
    </row>
    <row r="35" ht="15">
      <c r="A35" s="296" t="s">
        <v>371</v>
      </c>
    </row>
    <row r="36" ht="15">
      <c r="A36" s="296"/>
    </row>
    <row r="37" ht="15">
      <c r="A37" s="296" t="s">
        <v>372</v>
      </c>
    </row>
    <row r="38" ht="15">
      <c r="A38" s="296" t="s">
        <v>373</v>
      </c>
    </row>
    <row r="39" ht="15">
      <c r="A39" s="296" t="s">
        <v>374</v>
      </c>
    </row>
    <row r="40" ht="15">
      <c r="A40" s="296" t="s">
        <v>375</v>
      </c>
    </row>
    <row r="41" ht="15">
      <c r="A41" s="296" t="s">
        <v>376</v>
      </c>
    </row>
    <row r="42" ht="15">
      <c r="A42" s="296" t="s">
        <v>377</v>
      </c>
    </row>
    <row r="43" ht="15">
      <c r="A43" s="296" t="s">
        <v>378</v>
      </c>
    </row>
    <row r="44" ht="15">
      <c r="A44" s="296" t="s">
        <v>379</v>
      </c>
    </row>
    <row r="45" ht="15">
      <c r="A45" s="296"/>
    </row>
    <row r="46" ht="15">
      <c r="A46" s="296" t="s">
        <v>380</v>
      </c>
    </row>
    <row r="47" ht="15">
      <c r="A47" s="296" t="s">
        <v>381</v>
      </c>
    </row>
    <row r="48" ht="15">
      <c r="A48" s="296" t="s">
        <v>382</v>
      </c>
    </row>
    <row r="49" ht="15">
      <c r="A49" s="296"/>
    </row>
    <row r="50" ht="15">
      <c r="A50" s="296" t="s">
        <v>383</v>
      </c>
    </row>
    <row r="51" ht="15">
      <c r="A51" s="296" t="s">
        <v>384</v>
      </c>
    </row>
    <row r="52" ht="15">
      <c r="A52" s="296" t="s">
        <v>385</v>
      </c>
    </row>
    <row r="53" ht="15">
      <c r="A53" s="296"/>
    </row>
    <row r="54" ht="15">
      <c r="A54" s="297" t="s">
        <v>386</v>
      </c>
    </row>
    <row r="55" ht="15">
      <c r="A55" s="296"/>
    </row>
    <row r="56" ht="15">
      <c r="A56" s="296" t="s">
        <v>387</v>
      </c>
    </row>
    <row r="57" ht="15">
      <c r="A57" s="296" t="s">
        <v>388</v>
      </c>
    </row>
    <row r="58" ht="15">
      <c r="A58" s="296" t="s">
        <v>389</v>
      </c>
    </row>
    <row r="59" ht="15">
      <c r="A59" s="296" t="s">
        <v>390</v>
      </c>
    </row>
    <row r="60" ht="15">
      <c r="A60" s="296" t="s">
        <v>391</v>
      </c>
    </row>
    <row r="61" ht="15">
      <c r="A61" s="296" t="s">
        <v>392</v>
      </c>
    </row>
    <row r="62" ht="15">
      <c r="A62" s="296" t="s">
        <v>393</v>
      </c>
    </row>
    <row r="63" ht="15">
      <c r="A63" s="296" t="s">
        <v>394</v>
      </c>
    </row>
    <row r="64" ht="15">
      <c r="A64" s="296" t="s">
        <v>395</v>
      </c>
    </row>
    <row r="65" ht="15">
      <c r="A65" s="296" t="s">
        <v>396</v>
      </c>
    </row>
    <row r="66" ht="15">
      <c r="A66" s="296" t="s">
        <v>397</v>
      </c>
    </row>
    <row r="67" ht="15">
      <c r="A67" s="296" t="s">
        <v>398</v>
      </c>
    </row>
    <row r="68" ht="15">
      <c r="A68" s="296" t="s">
        <v>399</v>
      </c>
    </row>
    <row r="69" ht="15">
      <c r="A69" s="296"/>
    </row>
    <row r="70" ht="15">
      <c r="A70" s="296" t="s">
        <v>400</v>
      </c>
    </row>
    <row r="71" ht="15">
      <c r="A71" s="296" t="s">
        <v>401</v>
      </c>
    </row>
    <row r="72" ht="15">
      <c r="A72" s="296" t="s">
        <v>402</v>
      </c>
    </row>
    <row r="73" ht="15">
      <c r="A73" s="296"/>
    </row>
    <row r="74" ht="15">
      <c r="A74" s="297" t="str">
        <f>CONCATENATE("What if the ",inputPrYr!C6-2," financial records have been closed?")</f>
        <v>What if the -2 financial records have been closed?</v>
      </c>
    </row>
    <row r="76" ht="15">
      <c r="A76" s="296" t="s">
        <v>403</v>
      </c>
    </row>
    <row r="77" ht="15">
      <c r="A77" s="296" t="str">
        <f>CONCATENATE("(i.e. an audit for ",inputPrYr!C6-2," has been completed, or the ",inputPrYr!C6)</f>
        <v>(i.e. an audit for -2 has been completed, or the </v>
      </c>
    </row>
    <row r="78" ht="15">
      <c r="A78" s="296" t="s">
        <v>404</v>
      </c>
    </row>
    <row r="79" ht="15">
      <c r="A79" s="296" t="s">
        <v>405</v>
      </c>
    </row>
    <row r="80" ht="15">
      <c r="A80" s="296"/>
    </row>
    <row r="81" ht="15">
      <c r="A81" s="296" t="s">
        <v>406</v>
      </c>
    </row>
    <row r="82" ht="15">
      <c r="A82" s="296" t="s">
        <v>407</v>
      </c>
    </row>
    <row r="83" ht="15">
      <c r="A83" s="296" t="s">
        <v>408</v>
      </c>
    </row>
    <row r="84" ht="15">
      <c r="A84" s="296"/>
    </row>
    <row r="85" ht="15">
      <c r="A85" s="296" t="s">
        <v>409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12" sqref="N112"/>
    </sheetView>
  </sheetViews>
  <sheetFormatPr defaultColWidth="8.796875" defaultRowHeight="15"/>
  <cols>
    <col min="1" max="1" width="71.296875" style="0" customWidth="1"/>
  </cols>
  <sheetData>
    <row r="3" spans="1:10" ht="15">
      <c r="A3" s="295" t="s">
        <v>410</v>
      </c>
      <c r="B3" s="295"/>
      <c r="C3" s="295"/>
      <c r="D3" s="295"/>
      <c r="E3" s="295"/>
      <c r="F3" s="295"/>
      <c r="G3" s="295"/>
      <c r="H3" s="298"/>
      <c r="I3" s="298"/>
      <c r="J3" s="298"/>
    </row>
    <row r="5" ht="15">
      <c r="A5" s="296" t="s">
        <v>411</v>
      </c>
    </row>
    <row r="6" ht="15">
      <c r="A6" t="str">
        <f>CONCATENATE(inputPrYr!C6-2," expenditures show that you finished the year with a ")</f>
        <v>-2 expenditures show that you finished the year with a </v>
      </c>
    </row>
    <row r="7" ht="15">
      <c r="A7" t="s">
        <v>412</v>
      </c>
    </row>
    <row r="9" ht="15">
      <c r="A9" t="s">
        <v>413</v>
      </c>
    </row>
    <row r="10" ht="15">
      <c r="A10" t="s">
        <v>414</v>
      </c>
    </row>
    <row r="11" ht="15">
      <c r="A11" t="s">
        <v>415</v>
      </c>
    </row>
    <row r="13" ht="15">
      <c r="A13" s="297" t="s">
        <v>416</v>
      </c>
    </row>
    <row r="14" ht="15">
      <c r="A14" s="297"/>
    </row>
    <row r="15" ht="15">
      <c r="A15" s="296" t="s">
        <v>417</v>
      </c>
    </row>
    <row r="16" ht="15">
      <c r="A16" s="296" t="s">
        <v>418</v>
      </c>
    </row>
    <row r="17" ht="15">
      <c r="A17" s="296" t="s">
        <v>419</v>
      </c>
    </row>
    <row r="18" ht="15">
      <c r="A18" s="296"/>
    </row>
    <row r="19" ht="15">
      <c r="A19" s="297" t="s">
        <v>420</v>
      </c>
    </row>
    <row r="20" ht="15">
      <c r="A20" s="297"/>
    </row>
    <row r="21" ht="15">
      <c r="A21" s="296" t="s">
        <v>421</v>
      </c>
    </row>
    <row r="22" ht="15">
      <c r="A22" s="296" t="s">
        <v>422</v>
      </c>
    </row>
    <row r="23" ht="15">
      <c r="A23" s="296" t="s">
        <v>423</v>
      </c>
    </row>
    <row r="24" ht="15">
      <c r="A24" s="296"/>
    </row>
    <row r="25" ht="15">
      <c r="A25" s="297" t="s">
        <v>424</v>
      </c>
    </row>
    <row r="26" ht="15">
      <c r="A26" s="297"/>
    </row>
    <row r="27" ht="15">
      <c r="A27" s="296" t="s">
        <v>425</v>
      </c>
    </row>
    <row r="28" ht="15">
      <c r="A28" s="296" t="s">
        <v>426</v>
      </c>
    </row>
    <row r="29" ht="15">
      <c r="A29" s="296" t="s">
        <v>427</v>
      </c>
    </row>
    <row r="30" ht="15">
      <c r="A30" s="296"/>
    </row>
    <row r="31" ht="15">
      <c r="A31" s="297" t="s">
        <v>428</v>
      </c>
    </row>
    <row r="32" ht="15">
      <c r="A32" s="297"/>
    </row>
    <row r="33" spans="1:8" ht="15">
      <c r="A33" s="296" t="str">
        <f>CONCATENATE("If your financial records for ",inputPrYr!C6-2," are not closed")</f>
        <v>If your financial records for -2 are not closed</v>
      </c>
      <c r="B33" s="296"/>
      <c r="C33" s="296"/>
      <c r="D33" s="296"/>
      <c r="E33" s="296"/>
      <c r="F33" s="296"/>
      <c r="G33" s="296"/>
      <c r="H33" s="296"/>
    </row>
    <row r="34" spans="1:8" ht="15">
      <c r="A34" s="296" t="str">
        <f>CONCATENATE("(i.e. an audit has not been completed, or the ",inputPrYr!C6," adopted ")</f>
        <v>(i.e. an audit has not been completed, or the  adopted </v>
      </c>
      <c r="B34" s="296"/>
      <c r="C34" s="296"/>
      <c r="D34" s="296"/>
      <c r="E34" s="296"/>
      <c r="F34" s="296"/>
      <c r="G34" s="296"/>
      <c r="H34" s="296"/>
    </row>
    <row r="35" spans="1:8" ht="15">
      <c r="A35" s="296" t="s">
        <v>429</v>
      </c>
      <c r="B35" s="296"/>
      <c r="C35" s="296"/>
      <c r="D35" s="296"/>
      <c r="E35" s="296"/>
      <c r="F35" s="296"/>
      <c r="G35" s="296"/>
      <c r="H35" s="296"/>
    </row>
    <row r="36" spans="1:8" ht="15">
      <c r="A36" s="296" t="s">
        <v>430</v>
      </c>
      <c r="B36" s="296"/>
      <c r="C36" s="296"/>
      <c r="D36" s="296"/>
      <c r="E36" s="296"/>
      <c r="F36" s="296"/>
      <c r="G36" s="296"/>
      <c r="H36" s="296"/>
    </row>
    <row r="37" spans="1:8" ht="15">
      <c r="A37" s="296" t="s">
        <v>431</v>
      </c>
      <c r="B37" s="296"/>
      <c r="C37" s="296"/>
      <c r="D37" s="296"/>
      <c r="E37" s="296"/>
      <c r="F37" s="296"/>
      <c r="G37" s="296"/>
      <c r="H37" s="296"/>
    </row>
    <row r="38" spans="1:8" ht="15">
      <c r="A38" s="296" t="s">
        <v>432</v>
      </c>
      <c r="B38" s="296"/>
      <c r="C38" s="296"/>
      <c r="D38" s="296"/>
      <c r="E38" s="296"/>
      <c r="F38" s="296"/>
      <c r="G38" s="296"/>
      <c r="H38" s="296"/>
    </row>
    <row r="39" spans="1:8" ht="15">
      <c r="A39" s="296" t="s">
        <v>433</v>
      </c>
      <c r="B39" s="296"/>
      <c r="C39" s="296"/>
      <c r="D39" s="296"/>
      <c r="E39" s="296"/>
      <c r="F39" s="296"/>
      <c r="G39" s="296"/>
      <c r="H39" s="296"/>
    </row>
    <row r="40" spans="1:8" ht="15">
      <c r="A40" s="296"/>
      <c r="B40" s="296"/>
      <c r="C40" s="296"/>
      <c r="D40" s="296"/>
      <c r="E40" s="296"/>
      <c r="F40" s="296"/>
      <c r="G40" s="296"/>
      <c r="H40" s="296"/>
    </row>
    <row r="41" spans="1:8" ht="15">
      <c r="A41" s="296" t="s">
        <v>434</v>
      </c>
      <c r="B41" s="296"/>
      <c r="C41" s="296"/>
      <c r="D41" s="296"/>
      <c r="E41" s="296"/>
      <c r="F41" s="296"/>
      <c r="G41" s="296"/>
      <c r="H41" s="296"/>
    </row>
    <row r="42" spans="1:8" ht="15">
      <c r="A42" s="296" t="s">
        <v>435</v>
      </c>
      <c r="B42" s="296"/>
      <c r="C42" s="296"/>
      <c r="D42" s="296"/>
      <c r="E42" s="296"/>
      <c r="F42" s="296"/>
      <c r="G42" s="296"/>
      <c r="H42" s="296"/>
    </row>
    <row r="43" spans="1:8" ht="15">
      <c r="A43" s="296" t="s">
        <v>436</v>
      </c>
      <c r="B43" s="296"/>
      <c r="C43" s="296"/>
      <c r="D43" s="296"/>
      <c r="E43" s="296"/>
      <c r="F43" s="296"/>
      <c r="G43" s="296"/>
      <c r="H43" s="296"/>
    </row>
    <row r="44" spans="1:8" ht="15">
      <c r="A44" s="296" t="s">
        <v>437</v>
      </c>
      <c r="B44" s="296"/>
      <c r="C44" s="296"/>
      <c r="D44" s="296"/>
      <c r="E44" s="296"/>
      <c r="F44" s="296"/>
      <c r="G44" s="296"/>
      <c r="H44" s="296"/>
    </row>
    <row r="45" spans="1:8" ht="15">
      <c r="A45" s="296"/>
      <c r="B45" s="296"/>
      <c r="C45" s="296"/>
      <c r="D45" s="296"/>
      <c r="E45" s="296"/>
      <c r="F45" s="296"/>
      <c r="G45" s="296"/>
      <c r="H45" s="296"/>
    </row>
    <row r="46" spans="1:8" ht="15">
      <c r="A46" s="296" t="s">
        <v>438</v>
      </c>
      <c r="B46" s="296"/>
      <c r="C46" s="296"/>
      <c r="D46" s="296"/>
      <c r="E46" s="296"/>
      <c r="F46" s="296"/>
      <c r="G46" s="296"/>
      <c r="H46" s="296"/>
    </row>
    <row r="47" spans="1:8" ht="15">
      <c r="A47" s="296" t="s">
        <v>439</v>
      </c>
      <c r="B47" s="296"/>
      <c r="C47" s="296"/>
      <c r="D47" s="296"/>
      <c r="E47" s="296"/>
      <c r="F47" s="296"/>
      <c r="G47" s="296"/>
      <c r="H47" s="296"/>
    </row>
    <row r="48" spans="1:8" ht="15">
      <c r="A48" s="296" t="s">
        <v>440</v>
      </c>
      <c r="B48" s="296"/>
      <c r="C48" s="296"/>
      <c r="D48" s="296"/>
      <c r="E48" s="296"/>
      <c r="F48" s="296"/>
      <c r="G48" s="296"/>
      <c r="H48" s="296"/>
    </row>
    <row r="49" spans="1:8" ht="15">
      <c r="A49" s="296" t="s">
        <v>441</v>
      </c>
      <c r="B49" s="296"/>
      <c r="C49" s="296"/>
      <c r="D49" s="296"/>
      <c r="E49" s="296"/>
      <c r="F49" s="296"/>
      <c r="G49" s="296"/>
      <c r="H49" s="296"/>
    </row>
    <row r="50" spans="1:8" ht="15">
      <c r="A50" s="296" t="s">
        <v>442</v>
      </c>
      <c r="B50" s="296"/>
      <c r="C50" s="296"/>
      <c r="D50" s="296"/>
      <c r="E50" s="296"/>
      <c r="F50" s="296"/>
      <c r="G50" s="296"/>
      <c r="H50" s="296"/>
    </row>
    <row r="51" spans="1:8" ht="15">
      <c r="A51" s="296"/>
      <c r="B51" s="296"/>
      <c r="C51" s="296"/>
      <c r="D51" s="296"/>
      <c r="E51" s="296"/>
      <c r="F51" s="296"/>
      <c r="G51" s="296"/>
      <c r="H51" s="296"/>
    </row>
    <row r="52" spans="1:8" ht="15">
      <c r="A52" s="297" t="s">
        <v>443</v>
      </c>
      <c r="B52" s="297"/>
      <c r="C52" s="297"/>
      <c r="D52" s="297"/>
      <c r="E52" s="297"/>
      <c r="F52" s="297"/>
      <c r="G52" s="297"/>
      <c r="H52" s="296"/>
    </row>
    <row r="53" spans="1:8" ht="15">
      <c r="A53" s="297" t="s">
        <v>444</v>
      </c>
      <c r="B53" s="297"/>
      <c r="C53" s="297"/>
      <c r="D53" s="297"/>
      <c r="E53" s="297"/>
      <c r="F53" s="297"/>
      <c r="G53" s="297"/>
      <c r="H53" s="296"/>
    </row>
    <row r="54" spans="1:8" ht="15">
      <c r="A54" s="296"/>
      <c r="B54" s="296"/>
      <c r="C54" s="296"/>
      <c r="D54" s="296"/>
      <c r="E54" s="296"/>
      <c r="F54" s="296"/>
      <c r="G54" s="296"/>
      <c r="H54" s="296"/>
    </row>
    <row r="55" spans="1:8" ht="15">
      <c r="A55" s="296" t="s">
        <v>445</v>
      </c>
      <c r="B55" s="296"/>
      <c r="C55" s="296"/>
      <c r="D55" s="296"/>
      <c r="E55" s="296"/>
      <c r="F55" s="296"/>
      <c r="G55" s="296"/>
      <c r="H55" s="296"/>
    </row>
    <row r="56" spans="1:8" ht="15">
      <c r="A56" s="296" t="s">
        <v>446</v>
      </c>
      <c r="B56" s="296"/>
      <c r="C56" s="296"/>
      <c r="D56" s="296"/>
      <c r="E56" s="296"/>
      <c r="F56" s="296"/>
      <c r="G56" s="296"/>
      <c r="H56" s="296"/>
    </row>
    <row r="57" spans="1:8" ht="15">
      <c r="A57" s="296" t="s">
        <v>447</v>
      </c>
      <c r="B57" s="296"/>
      <c r="C57" s="296"/>
      <c r="D57" s="296"/>
      <c r="E57" s="296"/>
      <c r="F57" s="296"/>
      <c r="G57" s="296"/>
      <c r="H57" s="296"/>
    </row>
    <row r="58" spans="1:8" ht="15">
      <c r="A58" s="296" t="s">
        <v>448</v>
      </c>
      <c r="B58" s="296"/>
      <c r="C58" s="296"/>
      <c r="D58" s="296"/>
      <c r="E58" s="296"/>
      <c r="F58" s="296"/>
      <c r="G58" s="296"/>
      <c r="H58" s="296"/>
    </row>
    <row r="59" spans="1:8" ht="15">
      <c r="A59" s="296"/>
      <c r="B59" s="296"/>
      <c r="C59" s="296"/>
      <c r="D59" s="296"/>
      <c r="E59" s="296"/>
      <c r="F59" s="296"/>
      <c r="G59" s="296"/>
      <c r="H59" s="296"/>
    </row>
    <row r="60" spans="1:8" ht="15">
      <c r="A60" s="296" t="s">
        <v>449</v>
      </c>
      <c r="B60" s="296"/>
      <c r="C60" s="296"/>
      <c r="D60" s="296"/>
      <c r="E60" s="296"/>
      <c r="F60" s="296"/>
      <c r="G60" s="296"/>
      <c r="H60" s="296"/>
    </row>
    <row r="61" spans="1:8" ht="15">
      <c r="A61" s="296" t="s">
        <v>450</v>
      </c>
      <c r="B61" s="296"/>
      <c r="C61" s="296"/>
      <c r="D61" s="296"/>
      <c r="E61" s="296"/>
      <c r="F61" s="296"/>
      <c r="G61" s="296"/>
      <c r="H61" s="296"/>
    </row>
    <row r="62" spans="1:8" ht="15">
      <c r="A62" s="296" t="s">
        <v>451</v>
      </c>
      <c r="B62" s="296"/>
      <c r="C62" s="296"/>
      <c r="D62" s="296"/>
      <c r="E62" s="296"/>
      <c r="F62" s="296"/>
      <c r="G62" s="296"/>
      <c r="H62" s="296"/>
    </row>
    <row r="63" spans="1:8" ht="15">
      <c r="A63" s="296" t="s">
        <v>452</v>
      </c>
      <c r="B63" s="296"/>
      <c r="C63" s="296"/>
      <c r="D63" s="296"/>
      <c r="E63" s="296"/>
      <c r="F63" s="296"/>
      <c r="G63" s="296"/>
      <c r="H63" s="296"/>
    </row>
    <row r="64" spans="1:8" ht="15">
      <c r="A64" s="296" t="s">
        <v>453</v>
      </c>
      <c r="B64" s="296"/>
      <c r="C64" s="296"/>
      <c r="D64" s="296"/>
      <c r="E64" s="296"/>
      <c r="F64" s="296"/>
      <c r="G64" s="296"/>
      <c r="H64" s="296"/>
    </row>
    <row r="65" spans="1:8" ht="15">
      <c r="A65" s="296" t="s">
        <v>454</v>
      </c>
      <c r="B65" s="296"/>
      <c r="C65" s="296"/>
      <c r="D65" s="296"/>
      <c r="E65" s="296"/>
      <c r="F65" s="296"/>
      <c r="G65" s="296"/>
      <c r="H65" s="296"/>
    </row>
    <row r="66" spans="1:8" ht="15">
      <c r="A66" s="296"/>
      <c r="B66" s="296"/>
      <c r="C66" s="296"/>
      <c r="D66" s="296"/>
      <c r="E66" s="296"/>
      <c r="F66" s="296"/>
      <c r="G66" s="296"/>
      <c r="H66" s="296"/>
    </row>
    <row r="67" spans="1:8" ht="15">
      <c r="A67" s="296" t="s">
        <v>455</v>
      </c>
      <c r="B67" s="296"/>
      <c r="C67" s="296"/>
      <c r="D67" s="296"/>
      <c r="E67" s="296"/>
      <c r="F67" s="296"/>
      <c r="G67" s="296"/>
      <c r="H67" s="296"/>
    </row>
    <row r="68" spans="1:8" ht="15">
      <c r="A68" s="296" t="s">
        <v>456</v>
      </c>
      <c r="B68" s="296"/>
      <c r="C68" s="296"/>
      <c r="D68" s="296"/>
      <c r="E68" s="296"/>
      <c r="F68" s="296"/>
      <c r="G68" s="296"/>
      <c r="H68" s="296"/>
    </row>
    <row r="69" spans="1:8" ht="15">
      <c r="A69" s="296" t="s">
        <v>457</v>
      </c>
      <c r="B69" s="296"/>
      <c r="C69" s="296"/>
      <c r="D69" s="296"/>
      <c r="E69" s="296"/>
      <c r="F69" s="296"/>
      <c r="G69" s="296"/>
      <c r="H69" s="296"/>
    </row>
    <row r="70" spans="1:8" ht="15">
      <c r="A70" s="296" t="s">
        <v>458</v>
      </c>
      <c r="B70" s="296"/>
      <c r="C70" s="296"/>
      <c r="D70" s="296"/>
      <c r="E70" s="296"/>
      <c r="F70" s="296"/>
      <c r="G70" s="296"/>
      <c r="H70" s="296"/>
    </row>
    <row r="71" spans="1:8" ht="15">
      <c r="A71" s="296" t="s">
        <v>459</v>
      </c>
      <c r="B71" s="296"/>
      <c r="C71" s="296"/>
      <c r="D71" s="296"/>
      <c r="E71" s="296"/>
      <c r="F71" s="296"/>
      <c r="G71" s="296"/>
      <c r="H71" s="296"/>
    </row>
    <row r="72" spans="1:8" ht="15">
      <c r="A72" s="296" t="s">
        <v>460</v>
      </c>
      <c r="B72" s="296"/>
      <c r="C72" s="296"/>
      <c r="D72" s="296"/>
      <c r="E72" s="296"/>
      <c r="F72" s="296"/>
      <c r="G72" s="296"/>
      <c r="H72" s="296"/>
    </row>
    <row r="73" spans="1:8" ht="15">
      <c r="A73" s="296" t="s">
        <v>461</v>
      </c>
      <c r="B73" s="296"/>
      <c r="C73" s="296"/>
      <c r="D73" s="296"/>
      <c r="E73" s="296"/>
      <c r="F73" s="296"/>
      <c r="G73" s="296"/>
      <c r="H73" s="296"/>
    </row>
    <row r="74" spans="1:8" ht="15">
      <c r="A74" s="296"/>
      <c r="B74" s="296"/>
      <c r="C74" s="296"/>
      <c r="D74" s="296"/>
      <c r="E74" s="296"/>
      <c r="F74" s="296"/>
      <c r="G74" s="296"/>
      <c r="H74" s="296"/>
    </row>
    <row r="75" spans="1:8" ht="15">
      <c r="A75" s="296" t="s">
        <v>462</v>
      </c>
      <c r="B75" s="296"/>
      <c r="C75" s="296"/>
      <c r="D75" s="296"/>
      <c r="E75" s="296"/>
      <c r="F75" s="296"/>
      <c r="G75" s="296"/>
      <c r="H75" s="296"/>
    </row>
    <row r="76" spans="1:8" ht="15">
      <c r="A76" s="296" t="s">
        <v>463</v>
      </c>
      <c r="B76" s="296"/>
      <c r="C76" s="296"/>
      <c r="D76" s="296"/>
      <c r="E76" s="296"/>
      <c r="F76" s="296"/>
      <c r="G76" s="296"/>
      <c r="H76" s="296"/>
    </row>
    <row r="77" spans="1:8" ht="15">
      <c r="A77" s="296" t="s">
        <v>464</v>
      </c>
      <c r="B77" s="296"/>
      <c r="C77" s="296"/>
      <c r="D77" s="296"/>
      <c r="E77" s="296"/>
      <c r="F77" s="296"/>
      <c r="G77" s="296"/>
      <c r="H77" s="296"/>
    </row>
    <row r="78" spans="1:8" ht="15">
      <c r="A78" s="296"/>
      <c r="B78" s="296"/>
      <c r="C78" s="296"/>
      <c r="D78" s="296"/>
      <c r="E78" s="296"/>
      <c r="F78" s="296"/>
      <c r="G78" s="296"/>
      <c r="H78" s="296"/>
    </row>
    <row r="79" ht="15">
      <c r="A79" s="296" t="s">
        <v>409</v>
      </c>
    </row>
    <row r="80" ht="15">
      <c r="A80" s="297"/>
    </row>
    <row r="81" ht="15">
      <c r="A81" s="296"/>
    </row>
    <row r="82" ht="15">
      <c r="A82" s="296"/>
    </row>
    <row r="83" ht="15">
      <c r="A83" s="296"/>
    </row>
    <row r="84" ht="15">
      <c r="A84" s="296"/>
    </row>
    <row r="85" ht="15">
      <c r="A85" s="296"/>
    </row>
    <row r="86" ht="15">
      <c r="A86" s="296"/>
    </row>
    <row r="87" ht="15">
      <c r="A87" s="296"/>
    </row>
    <row r="88" ht="15">
      <c r="A88" s="296"/>
    </row>
    <row r="89" ht="15">
      <c r="A89" s="296"/>
    </row>
    <row r="90" ht="15">
      <c r="A90" s="296"/>
    </row>
    <row r="91" ht="15">
      <c r="A91" s="296"/>
    </row>
    <row r="92" ht="15">
      <c r="A92" s="296"/>
    </row>
    <row r="93" ht="15">
      <c r="A93" s="296"/>
    </row>
    <row r="94" ht="15">
      <c r="A94" s="296"/>
    </row>
    <row r="95" ht="15">
      <c r="A95" s="296"/>
    </row>
    <row r="96" ht="15">
      <c r="A96" s="296"/>
    </row>
    <row r="97" ht="15">
      <c r="A97" s="296"/>
    </row>
    <row r="98" ht="15">
      <c r="A98" s="296"/>
    </row>
    <row r="99" ht="15">
      <c r="A99" s="296"/>
    </row>
    <row r="100" ht="15">
      <c r="A100" s="296"/>
    </row>
    <row r="101" ht="15">
      <c r="A101" s="296"/>
    </row>
    <row r="103" ht="15">
      <c r="A103" s="296"/>
    </row>
    <row r="104" ht="15">
      <c r="A104" s="296"/>
    </row>
    <row r="105" ht="15">
      <c r="A105" s="296"/>
    </row>
    <row r="107" ht="15">
      <c r="A107" s="297"/>
    </row>
    <row r="108" ht="15">
      <c r="A108" s="297"/>
    </row>
    <row r="109" ht="15">
      <c r="A109" s="29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15" sqref="N115"/>
    </sheetView>
  </sheetViews>
  <sheetFormatPr defaultColWidth="8.796875" defaultRowHeight="15"/>
  <cols>
    <col min="1" max="1" width="71.296875" style="0" customWidth="1"/>
  </cols>
  <sheetData>
    <row r="3" spans="1:12" ht="15">
      <c r="A3" s="295" t="s">
        <v>465</v>
      </c>
      <c r="B3" s="295"/>
      <c r="C3" s="295"/>
      <c r="D3" s="295"/>
      <c r="E3" s="295"/>
      <c r="F3" s="295"/>
      <c r="G3" s="295"/>
      <c r="H3" s="295"/>
      <c r="I3" s="295"/>
      <c r="J3" s="295"/>
      <c r="K3" s="295"/>
      <c r="L3" s="295"/>
    </row>
    <row r="4" spans="1:12" ht="15">
      <c r="A4" s="295"/>
      <c r="B4" s="295"/>
      <c r="C4" s="295"/>
      <c r="D4" s="295"/>
      <c r="E4" s="295"/>
      <c r="F4" s="295"/>
      <c r="G4" s="295"/>
      <c r="H4" s="295"/>
      <c r="I4" s="295"/>
      <c r="J4" s="295"/>
      <c r="K4" s="295"/>
      <c r="L4" s="295"/>
    </row>
    <row r="5" spans="1:12" ht="15">
      <c r="A5" s="296" t="s">
        <v>354</v>
      </c>
      <c r="I5" s="295"/>
      <c r="J5" s="295"/>
      <c r="K5" s="295"/>
      <c r="L5" s="295"/>
    </row>
    <row r="6" spans="1:12" ht="15">
      <c r="A6" s="296" t="str">
        <f>CONCATENATE("estimated ",inputPrYr!C6-1," 'total expenditures' exceed your ",inputPrYr!C6-1,"")</f>
        <v>estimated -1 'total expenditures' exceed your -1</v>
      </c>
      <c r="I6" s="295"/>
      <c r="J6" s="295"/>
      <c r="K6" s="295"/>
      <c r="L6" s="295"/>
    </row>
    <row r="7" spans="1:12" ht="15">
      <c r="A7" s="299" t="s">
        <v>466</v>
      </c>
      <c r="I7" s="295"/>
      <c r="J7" s="295"/>
      <c r="K7" s="295"/>
      <c r="L7" s="295"/>
    </row>
    <row r="8" spans="1:12" ht="15">
      <c r="A8" s="296"/>
      <c r="I8" s="295"/>
      <c r="J8" s="295"/>
      <c r="K8" s="295"/>
      <c r="L8" s="295"/>
    </row>
    <row r="9" spans="1:12" ht="15">
      <c r="A9" s="296" t="s">
        <v>467</v>
      </c>
      <c r="I9" s="295"/>
      <c r="J9" s="295"/>
      <c r="K9" s="295"/>
      <c r="L9" s="295"/>
    </row>
    <row r="10" spans="1:12" ht="15">
      <c r="A10" s="296" t="s">
        <v>468</v>
      </c>
      <c r="I10" s="295"/>
      <c r="J10" s="295"/>
      <c r="K10" s="295"/>
      <c r="L10" s="295"/>
    </row>
    <row r="11" spans="1:12" ht="15">
      <c r="A11" s="296" t="s">
        <v>469</v>
      </c>
      <c r="I11" s="295"/>
      <c r="J11" s="295"/>
      <c r="K11" s="295"/>
      <c r="L11" s="295"/>
    </row>
    <row r="12" spans="1:12" ht="15">
      <c r="A12" s="296" t="s">
        <v>470</v>
      </c>
      <c r="I12" s="295"/>
      <c r="J12" s="295"/>
      <c r="K12" s="295"/>
      <c r="L12" s="295"/>
    </row>
    <row r="13" spans="1:12" ht="15">
      <c r="A13" s="296" t="s">
        <v>471</v>
      </c>
      <c r="I13" s="295"/>
      <c r="J13" s="295"/>
      <c r="K13" s="295"/>
      <c r="L13" s="295"/>
    </row>
    <row r="14" spans="1:12" ht="15">
      <c r="A14" s="295"/>
      <c r="B14" s="295"/>
      <c r="C14" s="295"/>
      <c r="D14" s="295"/>
      <c r="E14" s="295"/>
      <c r="F14" s="295"/>
      <c r="G14" s="295"/>
      <c r="H14" s="295"/>
      <c r="I14" s="295"/>
      <c r="J14" s="295"/>
      <c r="K14" s="295"/>
      <c r="L14" s="295"/>
    </row>
    <row r="15" ht="15">
      <c r="A15" s="297" t="s">
        <v>472</v>
      </c>
    </row>
    <row r="16" ht="15">
      <c r="A16" s="297" t="s">
        <v>473</v>
      </c>
    </row>
    <row r="17" ht="15">
      <c r="A17" s="297"/>
    </row>
    <row r="18" spans="1:7" ht="15">
      <c r="A18" s="296" t="s">
        <v>474</v>
      </c>
      <c r="B18" s="296"/>
      <c r="C18" s="296"/>
      <c r="D18" s="296"/>
      <c r="E18" s="296"/>
      <c r="F18" s="296"/>
      <c r="G18" s="296"/>
    </row>
    <row r="19" spans="1:7" ht="15">
      <c r="A19" s="296" t="str">
        <f>CONCATENATE("your ",inputPrYr!C6-1," numbers to see what steps might be necessary to")</f>
        <v>your -1 numbers to see what steps might be necessary to</v>
      </c>
      <c r="B19" s="296"/>
      <c r="C19" s="296"/>
      <c r="D19" s="296"/>
      <c r="E19" s="296"/>
      <c r="F19" s="296"/>
      <c r="G19" s="296"/>
    </row>
    <row r="20" spans="1:7" ht="15">
      <c r="A20" s="296" t="s">
        <v>475</v>
      </c>
      <c r="B20" s="296"/>
      <c r="C20" s="296"/>
      <c r="D20" s="296"/>
      <c r="E20" s="296"/>
      <c r="F20" s="296"/>
      <c r="G20" s="296"/>
    </row>
    <row r="21" spans="1:7" ht="15">
      <c r="A21" s="296" t="s">
        <v>476</v>
      </c>
      <c r="B21" s="296"/>
      <c r="C21" s="296"/>
      <c r="D21" s="296"/>
      <c r="E21" s="296"/>
      <c r="F21" s="296"/>
      <c r="G21" s="296"/>
    </row>
    <row r="22" ht="15">
      <c r="A22" s="296"/>
    </row>
    <row r="23" ht="15">
      <c r="A23" s="297" t="s">
        <v>477</v>
      </c>
    </row>
    <row r="24" ht="15">
      <c r="A24" s="297"/>
    </row>
    <row r="25" ht="15">
      <c r="A25" s="296" t="s">
        <v>478</v>
      </c>
    </row>
    <row r="26" spans="1:6" ht="15">
      <c r="A26" s="296" t="s">
        <v>479</v>
      </c>
      <c r="B26" s="296"/>
      <c r="C26" s="296"/>
      <c r="D26" s="296"/>
      <c r="E26" s="296"/>
      <c r="F26" s="296"/>
    </row>
    <row r="27" spans="1:6" ht="15">
      <c r="A27" s="296" t="s">
        <v>480</v>
      </c>
      <c r="B27" s="296"/>
      <c r="C27" s="296"/>
      <c r="D27" s="296"/>
      <c r="E27" s="296"/>
      <c r="F27" s="296"/>
    </row>
    <row r="28" spans="1:6" ht="15">
      <c r="A28" s="296" t="s">
        <v>481</v>
      </c>
      <c r="B28" s="296"/>
      <c r="C28" s="296"/>
      <c r="D28" s="296"/>
      <c r="E28" s="296"/>
      <c r="F28" s="296"/>
    </row>
    <row r="29" spans="1:6" ht="15">
      <c r="A29" s="296"/>
      <c r="B29" s="296"/>
      <c r="C29" s="296"/>
      <c r="D29" s="296"/>
      <c r="E29" s="296"/>
      <c r="F29" s="296"/>
    </row>
    <row r="30" spans="1:7" ht="15">
      <c r="A30" s="297" t="s">
        <v>482</v>
      </c>
      <c r="B30" s="297"/>
      <c r="C30" s="297"/>
      <c r="D30" s="297"/>
      <c r="E30" s="297"/>
      <c r="F30" s="297"/>
      <c r="G30" s="297"/>
    </row>
    <row r="31" spans="1:7" ht="15">
      <c r="A31" s="297" t="s">
        <v>483</v>
      </c>
      <c r="B31" s="297"/>
      <c r="C31" s="297"/>
      <c r="D31" s="297"/>
      <c r="E31" s="297"/>
      <c r="F31" s="297"/>
      <c r="G31" s="297"/>
    </row>
    <row r="32" spans="1:6" ht="15">
      <c r="A32" s="296"/>
      <c r="B32" s="296"/>
      <c r="C32" s="296"/>
      <c r="D32" s="296"/>
      <c r="E32" s="296"/>
      <c r="F32" s="296"/>
    </row>
    <row r="33" spans="1:6" ht="15">
      <c r="A33" s="300" t="str">
        <f>CONCATENATE("Well, let's look to see if any of your ",inputPrYr!C6-1," expenditures can")</f>
        <v>Well, let's look to see if any of your -1 expenditures can</v>
      </c>
      <c r="B33" s="296"/>
      <c r="C33" s="296"/>
      <c r="D33" s="296"/>
      <c r="E33" s="296"/>
      <c r="F33" s="296"/>
    </row>
    <row r="34" spans="1:6" ht="15">
      <c r="A34" s="300" t="s">
        <v>484</v>
      </c>
      <c r="B34" s="296"/>
      <c r="C34" s="296"/>
      <c r="D34" s="296"/>
      <c r="E34" s="296"/>
      <c r="F34" s="296"/>
    </row>
    <row r="35" spans="1:6" ht="15">
      <c r="A35" s="300" t="s">
        <v>368</v>
      </c>
      <c r="B35" s="296"/>
      <c r="C35" s="296"/>
      <c r="D35" s="296"/>
      <c r="E35" s="296"/>
      <c r="F35" s="296"/>
    </row>
    <row r="36" spans="1:6" ht="15">
      <c r="A36" s="300" t="s">
        <v>369</v>
      </c>
      <c r="B36" s="296"/>
      <c r="C36" s="296"/>
      <c r="D36" s="296"/>
      <c r="E36" s="296"/>
      <c r="F36" s="296"/>
    </row>
    <row r="37" spans="1:6" ht="15">
      <c r="A37" s="300"/>
      <c r="B37" s="296"/>
      <c r="C37" s="296"/>
      <c r="D37" s="296"/>
      <c r="E37" s="296"/>
      <c r="F37" s="296"/>
    </row>
    <row r="38" spans="1:6" ht="15">
      <c r="A38" s="300" t="str">
        <f>CONCATENATE("Additionally, do your ",inputPrYr!C6-1," receipts contain a reimbursement")</f>
        <v>Additionally, do your -1 receipts contain a reimbursement</v>
      </c>
      <c r="B38" s="296"/>
      <c r="C38" s="296"/>
      <c r="D38" s="296"/>
      <c r="E38" s="296"/>
      <c r="F38" s="296"/>
    </row>
    <row r="39" spans="1:6" ht="15">
      <c r="A39" s="300" t="s">
        <v>370</v>
      </c>
      <c r="B39" s="296"/>
      <c r="C39" s="296"/>
      <c r="D39" s="296"/>
      <c r="E39" s="296"/>
      <c r="F39" s="296"/>
    </row>
    <row r="40" spans="1:6" ht="15">
      <c r="A40" s="300" t="s">
        <v>371</v>
      </c>
      <c r="B40" s="296"/>
      <c r="C40" s="296"/>
      <c r="D40" s="296"/>
      <c r="E40" s="296"/>
      <c r="F40" s="296"/>
    </row>
    <row r="41" spans="1:6" ht="15">
      <c r="A41" s="300"/>
      <c r="B41" s="296"/>
      <c r="C41" s="296"/>
      <c r="D41" s="296"/>
      <c r="E41" s="296"/>
      <c r="F41" s="296"/>
    </row>
    <row r="42" spans="1:6" ht="15">
      <c r="A42" s="300" t="s">
        <v>372</v>
      </c>
      <c r="B42" s="296"/>
      <c r="C42" s="296"/>
      <c r="D42" s="296"/>
      <c r="E42" s="296"/>
      <c r="F42" s="296"/>
    </row>
    <row r="43" spans="1:6" ht="15">
      <c r="A43" s="300" t="s">
        <v>373</v>
      </c>
      <c r="B43" s="296"/>
      <c r="C43" s="296"/>
      <c r="D43" s="296"/>
      <c r="E43" s="296"/>
      <c r="F43" s="296"/>
    </row>
    <row r="44" spans="1:6" ht="15">
      <c r="A44" s="300" t="s">
        <v>374</v>
      </c>
      <c r="B44" s="296"/>
      <c r="C44" s="296"/>
      <c r="D44" s="296"/>
      <c r="E44" s="296"/>
      <c r="F44" s="296"/>
    </row>
    <row r="45" spans="1:6" ht="15">
      <c r="A45" s="300" t="s">
        <v>485</v>
      </c>
      <c r="B45" s="296"/>
      <c r="C45" s="296"/>
      <c r="D45" s="296"/>
      <c r="E45" s="296"/>
      <c r="F45" s="296"/>
    </row>
    <row r="46" spans="1:6" ht="15">
      <c r="A46" s="300" t="s">
        <v>376</v>
      </c>
      <c r="B46" s="296"/>
      <c r="C46" s="296"/>
      <c r="D46" s="296"/>
      <c r="E46" s="296"/>
      <c r="F46" s="296"/>
    </row>
    <row r="47" spans="1:6" ht="15">
      <c r="A47" s="300" t="s">
        <v>486</v>
      </c>
      <c r="B47" s="296"/>
      <c r="C47" s="296"/>
      <c r="D47" s="296"/>
      <c r="E47" s="296"/>
      <c r="F47" s="296"/>
    </row>
    <row r="48" spans="1:6" ht="15">
      <c r="A48" s="300" t="s">
        <v>487</v>
      </c>
      <c r="B48" s="296"/>
      <c r="C48" s="296"/>
      <c r="D48" s="296"/>
      <c r="E48" s="296"/>
      <c r="F48" s="296"/>
    </row>
    <row r="49" spans="1:6" ht="15">
      <c r="A49" s="300" t="s">
        <v>379</v>
      </c>
      <c r="B49" s="296"/>
      <c r="C49" s="296"/>
      <c r="D49" s="296"/>
      <c r="E49" s="296"/>
      <c r="F49" s="296"/>
    </row>
    <row r="50" spans="1:6" ht="15">
      <c r="A50" s="300"/>
      <c r="B50" s="296"/>
      <c r="C50" s="296"/>
      <c r="D50" s="296"/>
      <c r="E50" s="296"/>
      <c r="F50" s="296"/>
    </row>
    <row r="51" spans="1:6" ht="15">
      <c r="A51" s="300" t="s">
        <v>380</v>
      </c>
      <c r="B51" s="296"/>
      <c r="C51" s="296"/>
      <c r="D51" s="296"/>
      <c r="E51" s="296"/>
      <c r="F51" s="296"/>
    </row>
    <row r="52" spans="1:6" ht="15">
      <c r="A52" s="300" t="s">
        <v>381</v>
      </c>
      <c r="B52" s="296"/>
      <c r="C52" s="296"/>
      <c r="D52" s="296"/>
      <c r="E52" s="296"/>
      <c r="F52" s="296"/>
    </row>
    <row r="53" spans="1:6" ht="15">
      <c r="A53" s="300" t="s">
        <v>382</v>
      </c>
      <c r="B53" s="296"/>
      <c r="C53" s="296"/>
      <c r="D53" s="296"/>
      <c r="E53" s="296"/>
      <c r="F53" s="296"/>
    </row>
    <row r="54" spans="1:6" ht="15">
      <c r="A54" s="300"/>
      <c r="B54" s="296"/>
      <c r="C54" s="296"/>
      <c r="D54" s="296"/>
      <c r="E54" s="296"/>
      <c r="F54" s="296"/>
    </row>
    <row r="55" spans="1:6" ht="15">
      <c r="A55" s="300" t="s">
        <v>488</v>
      </c>
      <c r="B55" s="296"/>
      <c r="C55" s="296"/>
      <c r="D55" s="296"/>
      <c r="E55" s="296"/>
      <c r="F55" s="296"/>
    </row>
    <row r="56" spans="1:6" ht="15">
      <c r="A56" s="300" t="s">
        <v>489</v>
      </c>
      <c r="B56" s="296"/>
      <c r="C56" s="296"/>
      <c r="D56" s="296"/>
      <c r="E56" s="296"/>
      <c r="F56" s="296"/>
    </row>
    <row r="57" spans="1:6" ht="15">
      <c r="A57" s="300" t="s">
        <v>490</v>
      </c>
      <c r="B57" s="296"/>
      <c r="C57" s="296"/>
      <c r="D57" s="296"/>
      <c r="E57" s="296"/>
      <c r="F57" s="296"/>
    </row>
    <row r="58" spans="1:6" ht="15">
      <c r="A58" s="300" t="s">
        <v>491</v>
      </c>
      <c r="B58" s="296"/>
      <c r="C58" s="296"/>
      <c r="D58" s="296"/>
      <c r="E58" s="296"/>
      <c r="F58" s="296"/>
    </row>
    <row r="59" spans="1:6" ht="15">
      <c r="A59" s="300" t="s">
        <v>492</v>
      </c>
      <c r="B59" s="296"/>
      <c r="C59" s="296"/>
      <c r="D59" s="296"/>
      <c r="E59" s="296"/>
      <c r="F59" s="296"/>
    </row>
    <row r="60" spans="1:6" ht="15">
      <c r="A60" s="300"/>
      <c r="B60" s="296"/>
      <c r="C60" s="296"/>
      <c r="D60" s="296"/>
      <c r="E60" s="296"/>
      <c r="F60" s="296"/>
    </row>
    <row r="61" spans="1:6" ht="15">
      <c r="A61" s="301" t="s">
        <v>493</v>
      </c>
      <c r="B61" s="296"/>
      <c r="C61" s="296"/>
      <c r="D61" s="296"/>
      <c r="E61" s="296"/>
      <c r="F61" s="296"/>
    </row>
    <row r="62" spans="1:6" ht="15">
      <c r="A62" s="301" t="s">
        <v>494</v>
      </c>
      <c r="B62" s="296"/>
      <c r="C62" s="296"/>
      <c r="D62" s="296"/>
      <c r="E62" s="296"/>
      <c r="F62" s="296"/>
    </row>
    <row r="63" spans="1:6" ht="15">
      <c r="A63" s="301" t="s">
        <v>495</v>
      </c>
      <c r="B63" s="296"/>
      <c r="C63" s="296"/>
      <c r="D63" s="296"/>
      <c r="E63" s="296"/>
      <c r="F63" s="296"/>
    </row>
    <row r="64" ht="15">
      <c r="A64" s="301" t="s">
        <v>496</v>
      </c>
    </row>
    <row r="65" ht="15">
      <c r="A65" s="301" t="s">
        <v>497</v>
      </c>
    </row>
    <row r="66" ht="15">
      <c r="A66" s="301" t="s">
        <v>498</v>
      </c>
    </row>
    <row r="68" ht="15">
      <c r="A68" s="296" t="s">
        <v>499</v>
      </c>
    </row>
    <row r="69" ht="15">
      <c r="A69" s="296" t="s">
        <v>500</v>
      </c>
    </row>
    <row r="70" ht="15">
      <c r="A70" s="296" t="s">
        <v>501</v>
      </c>
    </row>
    <row r="71" ht="15">
      <c r="A71" s="296" t="s">
        <v>502</v>
      </c>
    </row>
    <row r="72" ht="15">
      <c r="A72" s="296" t="s">
        <v>503</v>
      </c>
    </row>
    <row r="73" ht="15">
      <c r="A73" s="296" t="s">
        <v>504</v>
      </c>
    </row>
    <row r="75" ht="15">
      <c r="A75" s="296" t="s">
        <v>409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S53" sqref="S53"/>
    </sheetView>
  </sheetViews>
  <sheetFormatPr defaultColWidth="8.796875" defaultRowHeight="15"/>
  <cols>
    <col min="1" max="1" width="13.796875" style="609" customWidth="1"/>
    <col min="2" max="2" width="16.09765625" style="609" customWidth="1"/>
    <col min="3" max="16384" width="8.8984375" style="609" customWidth="1"/>
  </cols>
  <sheetData>
    <row r="1" ht="15">
      <c r="J1" s="608" t="s">
        <v>820</v>
      </c>
    </row>
    <row r="2" spans="1:10" ht="54" customHeight="1">
      <c r="A2" s="985" t="s">
        <v>344</v>
      </c>
      <c r="B2" s="986"/>
      <c r="C2" s="986"/>
      <c r="D2" s="986"/>
      <c r="E2" s="986"/>
      <c r="F2" s="986"/>
      <c r="J2" s="608" t="s">
        <v>821</v>
      </c>
    </row>
    <row r="3" spans="1:10" ht="15.75">
      <c r="A3" s="607" t="s">
        <v>822</v>
      </c>
      <c r="B3" s="690"/>
      <c r="C3" s="691"/>
      <c r="J3" s="608" t="s">
        <v>823</v>
      </c>
    </row>
    <row r="4" spans="1:10" ht="15.75">
      <c r="A4" s="607"/>
      <c r="B4" s="646"/>
      <c r="J4" s="608" t="s">
        <v>824</v>
      </c>
    </row>
    <row r="5" spans="1:10" ht="15.75">
      <c r="A5" s="607" t="s">
        <v>590</v>
      </c>
      <c r="B5" s="692"/>
      <c r="J5" s="608" t="s">
        <v>825</v>
      </c>
    </row>
    <row r="6" spans="1:10" ht="15.75">
      <c r="A6" s="614"/>
      <c r="B6" s="614"/>
      <c r="C6" s="614"/>
      <c r="D6" s="640" t="s">
        <v>826</v>
      </c>
      <c r="E6" s="614"/>
      <c r="F6" s="614"/>
      <c r="J6" s="608" t="s">
        <v>827</v>
      </c>
    </row>
    <row r="7" spans="1:10" ht="15.75">
      <c r="A7" s="640" t="s">
        <v>345</v>
      </c>
      <c r="B7" s="692"/>
      <c r="C7" s="615"/>
      <c r="D7" s="606">
        <f>IF(B7="","",CONCATENATE("Latest date for notice to be published in your newspaper: ",G18," ",G22,", ",G23))</f>
      </c>
      <c r="E7" s="614"/>
      <c r="F7" s="614"/>
      <c r="J7" s="608" t="s">
        <v>828</v>
      </c>
    </row>
    <row r="8" spans="1:10" ht="15.75">
      <c r="A8" s="640"/>
      <c r="B8" s="616"/>
      <c r="C8" s="617"/>
      <c r="D8" s="640"/>
      <c r="E8" s="614"/>
      <c r="F8" s="614"/>
      <c r="J8" s="608" t="s">
        <v>829</v>
      </c>
    </row>
    <row r="9" spans="1:10" ht="15.75">
      <c r="A9" s="640" t="s">
        <v>346</v>
      </c>
      <c r="B9" s="692"/>
      <c r="C9" s="618"/>
      <c r="D9" s="640"/>
      <c r="E9" s="614"/>
      <c r="F9" s="614"/>
      <c r="J9" s="608" t="s">
        <v>830</v>
      </c>
    </row>
    <row r="10" spans="1:10" ht="15.75">
      <c r="A10" s="640"/>
      <c r="B10" s="640"/>
      <c r="C10" s="640"/>
      <c r="D10" s="640"/>
      <c r="E10" s="614"/>
      <c r="F10" s="614"/>
      <c r="J10" s="608" t="s">
        <v>831</v>
      </c>
    </row>
    <row r="11" spans="1:10" ht="15.75">
      <c r="A11" s="640" t="s">
        <v>347</v>
      </c>
      <c r="B11" s="693"/>
      <c r="C11" s="694"/>
      <c r="D11" s="694"/>
      <c r="E11" s="695"/>
      <c r="F11" s="614"/>
      <c r="J11" s="608" t="s">
        <v>832</v>
      </c>
    </row>
    <row r="12" spans="1:10" ht="15.75">
      <c r="A12" s="640"/>
      <c r="B12" s="640"/>
      <c r="C12" s="640"/>
      <c r="D12" s="640"/>
      <c r="E12" s="614"/>
      <c r="F12" s="614"/>
      <c r="J12" s="608" t="s">
        <v>833</v>
      </c>
    </row>
    <row r="13" spans="1:6" ht="15.75">
      <c r="A13" s="640"/>
      <c r="B13" s="640"/>
      <c r="C13" s="640"/>
      <c r="D13" s="640"/>
      <c r="E13" s="614"/>
      <c r="F13" s="614"/>
    </row>
    <row r="14" spans="1:6" ht="15.75">
      <c r="A14" s="640" t="s">
        <v>348</v>
      </c>
      <c r="B14" s="693"/>
      <c r="C14" s="694"/>
      <c r="D14" s="694"/>
      <c r="E14" s="695"/>
      <c r="F14" s="614"/>
    </row>
    <row r="17" spans="1:6" ht="15.75">
      <c r="A17" s="987" t="s">
        <v>349</v>
      </c>
      <c r="B17" s="987"/>
      <c r="C17" s="640"/>
      <c r="D17" s="640"/>
      <c r="E17" s="640"/>
      <c r="F17" s="614"/>
    </row>
    <row r="18" spans="1:7" ht="15.75">
      <c r="A18" s="640"/>
      <c r="B18" s="640"/>
      <c r="C18" s="640"/>
      <c r="D18" s="640"/>
      <c r="E18" s="640"/>
      <c r="F18" s="614"/>
      <c r="G18" s="608">
        <f ca="1">IF(B7="","",INDIRECT(G19))</f>
      </c>
    </row>
    <row r="19" spans="1:7" ht="15.75">
      <c r="A19" s="640" t="s">
        <v>590</v>
      </c>
      <c r="B19" s="640" t="s">
        <v>594</v>
      </c>
      <c r="C19" s="640"/>
      <c r="D19" s="640"/>
      <c r="E19" s="640"/>
      <c r="F19" s="614"/>
      <c r="G19" s="641">
        <f>IF(B7="","",CONCATENATE("J",G21))</f>
      </c>
    </row>
    <row r="20" spans="1:7" ht="15.75">
      <c r="A20" s="640"/>
      <c r="B20" s="640"/>
      <c r="C20" s="640"/>
      <c r="D20" s="640"/>
      <c r="E20" s="640"/>
      <c r="F20" s="614"/>
      <c r="G20" s="642">
        <f>B7-10</f>
        <v>-10</v>
      </c>
    </row>
    <row r="21" spans="1:7" ht="15.75">
      <c r="A21" s="640" t="s">
        <v>345</v>
      </c>
      <c r="B21" s="616" t="s">
        <v>350</v>
      </c>
      <c r="C21" s="640"/>
      <c r="D21" s="640"/>
      <c r="E21" s="640"/>
      <c r="G21" s="643">
        <f>IF(B7="","",MONTH(G20))</f>
      </c>
    </row>
    <row r="22" spans="1:7" ht="15.75">
      <c r="A22" s="640"/>
      <c r="B22" s="640"/>
      <c r="C22" s="640"/>
      <c r="D22" s="640"/>
      <c r="E22" s="640"/>
      <c r="G22" s="644">
        <f>IF(B7="","",DAY(G20))</f>
      </c>
    </row>
    <row r="23" spans="1:7" ht="15.75">
      <c r="A23" s="640" t="s">
        <v>346</v>
      </c>
      <c r="B23" s="640" t="s">
        <v>351</v>
      </c>
      <c r="C23" s="640"/>
      <c r="D23" s="640"/>
      <c r="E23" s="640"/>
      <c r="G23" s="645">
        <f>IF(B7="","",YEAR(G20))</f>
      </c>
    </row>
    <row r="24" spans="1:5" ht="15.75">
      <c r="A24" s="640"/>
      <c r="B24" s="640"/>
      <c r="C24" s="640"/>
      <c r="D24" s="640"/>
      <c r="E24" s="640"/>
    </row>
    <row r="25" spans="1:5" ht="15.75">
      <c r="A25" s="640" t="s">
        <v>347</v>
      </c>
      <c r="B25" s="640" t="s">
        <v>352</v>
      </c>
      <c r="C25" s="640"/>
      <c r="D25" s="640"/>
      <c r="E25" s="640"/>
    </row>
    <row r="26" spans="1:5" ht="15.75">
      <c r="A26" s="640"/>
      <c r="B26" s="640"/>
      <c r="C26" s="640"/>
      <c r="D26" s="640"/>
      <c r="E26" s="640"/>
    </row>
    <row r="27" spans="1:5" ht="15.75">
      <c r="A27" s="640" t="s">
        <v>348</v>
      </c>
      <c r="B27" s="640" t="s">
        <v>352</v>
      </c>
      <c r="C27" s="640"/>
      <c r="D27" s="640"/>
      <c r="E27" s="640"/>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4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97" sqref="N97"/>
    </sheetView>
  </sheetViews>
  <sheetFormatPr defaultColWidth="8.796875" defaultRowHeight="15"/>
  <cols>
    <col min="1" max="1" width="71.296875" style="0" customWidth="1"/>
  </cols>
  <sheetData>
    <row r="3" spans="1:7" ht="15">
      <c r="A3" s="295" t="s">
        <v>505</v>
      </c>
      <c r="B3" s="295"/>
      <c r="C3" s="295"/>
      <c r="D3" s="295"/>
      <c r="E3" s="295"/>
      <c r="F3" s="295"/>
      <c r="G3" s="295"/>
    </row>
    <row r="4" spans="1:7" ht="15">
      <c r="A4" s="295"/>
      <c r="B4" s="295"/>
      <c r="C4" s="295"/>
      <c r="D4" s="295"/>
      <c r="E4" s="295"/>
      <c r="F4" s="295"/>
      <c r="G4" s="295"/>
    </row>
    <row r="5" ht="15">
      <c r="A5" s="296" t="s">
        <v>411</v>
      </c>
    </row>
    <row r="6" ht="15">
      <c r="A6" s="296" t="str">
        <f>CONCATENATE(inputPrYr!C6," estimated expenditures show that at the end of this year")</f>
        <v> estimated expenditures show that at the end of this year</v>
      </c>
    </row>
    <row r="7" ht="15">
      <c r="A7" s="296" t="s">
        <v>506</v>
      </c>
    </row>
    <row r="8" ht="15">
      <c r="A8" s="296" t="s">
        <v>507</v>
      </c>
    </row>
    <row r="10" ht="15">
      <c r="A10" t="s">
        <v>413</v>
      </c>
    </row>
    <row r="11" ht="15">
      <c r="A11" t="s">
        <v>414</v>
      </c>
    </row>
    <row r="12" ht="15">
      <c r="A12" t="s">
        <v>415</v>
      </c>
    </row>
    <row r="13" spans="1:7" ht="15">
      <c r="A13" s="295"/>
      <c r="B13" s="295"/>
      <c r="C13" s="295"/>
      <c r="D13" s="295"/>
      <c r="E13" s="295"/>
      <c r="F13" s="295"/>
      <c r="G13" s="295"/>
    </row>
    <row r="14" ht="15">
      <c r="A14" s="297" t="s">
        <v>508</v>
      </c>
    </row>
    <row r="15" ht="15">
      <c r="A15" s="296"/>
    </row>
    <row r="16" ht="15">
      <c r="A16" s="296" t="s">
        <v>509</v>
      </c>
    </row>
    <row r="17" ht="15">
      <c r="A17" s="296" t="s">
        <v>510</v>
      </c>
    </row>
    <row r="18" ht="15">
      <c r="A18" s="296" t="s">
        <v>511</v>
      </c>
    </row>
    <row r="19" ht="15">
      <c r="A19" s="296"/>
    </row>
    <row r="20" ht="15">
      <c r="A20" s="296" t="s">
        <v>512</v>
      </c>
    </row>
    <row r="21" ht="15">
      <c r="A21" s="296" t="s">
        <v>513</v>
      </c>
    </row>
    <row r="22" ht="15">
      <c r="A22" s="296" t="s">
        <v>514</v>
      </c>
    </row>
    <row r="23" ht="15">
      <c r="A23" s="296" t="s">
        <v>515</v>
      </c>
    </row>
    <row r="24" ht="15">
      <c r="A24" s="296"/>
    </row>
    <row r="25" ht="15">
      <c r="A25" s="297" t="s">
        <v>477</v>
      </c>
    </row>
    <row r="26" ht="15">
      <c r="A26" s="297"/>
    </row>
    <row r="27" ht="15">
      <c r="A27" s="296" t="s">
        <v>478</v>
      </c>
    </row>
    <row r="28" spans="1:6" ht="15">
      <c r="A28" s="296" t="s">
        <v>479</v>
      </c>
      <c r="B28" s="296"/>
      <c r="C28" s="296"/>
      <c r="D28" s="296"/>
      <c r="E28" s="296"/>
      <c r="F28" s="296"/>
    </row>
    <row r="29" spans="1:6" ht="15">
      <c r="A29" s="296" t="s">
        <v>480</v>
      </c>
      <c r="B29" s="296"/>
      <c r="C29" s="296"/>
      <c r="D29" s="296"/>
      <c r="E29" s="296"/>
      <c r="F29" s="296"/>
    </row>
    <row r="30" spans="1:6" ht="15">
      <c r="A30" s="296" t="s">
        <v>481</v>
      </c>
      <c r="B30" s="296"/>
      <c r="C30" s="296"/>
      <c r="D30" s="296"/>
      <c r="E30" s="296"/>
      <c r="F30" s="296"/>
    </row>
    <row r="31" ht="15">
      <c r="A31" s="296"/>
    </row>
    <row r="32" spans="1:7" ht="15">
      <c r="A32" s="297" t="s">
        <v>482</v>
      </c>
      <c r="B32" s="297"/>
      <c r="C32" s="297"/>
      <c r="D32" s="297"/>
      <c r="E32" s="297"/>
      <c r="F32" s="297"/>
      <c r="G32" s="297"/>
    </row>
    <row r="33" spans="1:7" ht="15">
      <c r="A33" s="297" t="s">
        <v>483</v>
      </c>
      <c r="B33" s="297"/>
      <c r="C33" s="297"/>
      <c r="D33" s="297"/>
      <c r="E33" s="297"/>
      <c r="F33" s="297"/>
      <c r="G33" s="297"/>
    </row>
    <row r="34" spans="1:7" ht="15">
      <c r="A34" s="297"/>
      <c r="B34" s="297"/>
      <c r="C34" s="297"/>
      <c r="D34" s="297"/>
      <c r="E34" s="297"/>
      <c r="F34" s="297"/>
      <c r="G34" s="297"/>
    </row>
    <row r="35" spans="1:7" ht="15">
      <c r="A35" s="296" t="s">
        <v>516</v>
      </c>
      <c r="B35" s="296"/>
      <c r="C35" s="296"/>
      <c r="D35" s="296"/>
      <c r="E35" s="296"/>
      <c r="F35" s="296"/>
      <c r="G35" s="296"/>
    </row>
    <row r="36" spans="1:7" ht="15">
      <c r="A36" s="296" t="s">
        <v>517</v>
      </c>
      <c r="B36" s="296"/>
      <c r="C36" s="296"/>
      <c r="D36" s="296"/>
      <c r="E36" s="296"/>
      <c r="F36" s="296"/>
      <c r="G36" s="296"/>
    </row>
    <row r="37" spans="1:7" ht="15">
      <c r="A37" s="296" t="s">
        <v>518</v>
      </c>
      <c r="B37" s="296"/>
      <c r="C37" s="296"/>
      <c r="D37" s="296"/>
      <c r="E37" s="296"/>
      <c r="F37" s="296"/>
      <c r="G37" s="296"/>
    </row>
    <row r="38" spans="1:7" ht="15">
      <c r="A38" s="296" t="s">
        <v>519</v>
      </c>
      <c r="B38" s="296"/>
      <c r="C38" s="296"/>
      <c r="D38" s="296"/>
      <c r="E38" s="296"/>
      <c r="F38" s="296"/>
      <c r="G38" s="296"/>
    </row>
    <row r="39" spans="1:7" ht="15">
      <c r="A39" s="296" t="s">
        <v>520</v>
      </c>
      <c r="B39" s="296"/>
      <c r="C39" s="296"/>
      <c r="D39" s="296"/>
      <c r="E39" s="296"/>
      <c r="F39" s="296"/>
      <c r="G39" s="296"/>
    </row>
    <row r="40" spans="1:7" ht="15">
      <c r="A40" s="297"/>
      <c r="B40" s="297"/>
      <c r="C40" s="297"/>
      <c r="D40" s="297"/>
      <c r="E40" s="297"/>
      <c r="F40" s="297"/>
      <c r="G40" s="297"/>
    </row>
    <row r="41" spans="1:6" ht="15">
      <c r="A41" s="300" t="str">
        <f>CONCATENATE("So, let's look to see if any of your ",inputPrYr!C6-1," expenditures can")</f>
        <v>So, let's look to see if any of your -1 expenditures can</v>
      </c>
      <c r="B41" s="296"/>
      <c r="C41" s="296"/>
      <c r="D41" s="296"/>
      <c r="E41" s="296"/>
      <c r="F41" s="296"/>
    </row>
    <row r="42" spans="1:6" ht="15">
      <c r="A42" s="300" t="s">
        <v>484</v>
      </c>
      <c r="B42" s="296"/>
      <c r="C42" s="296"/>
      <c r="D42" s="296"/>
      <c r="E42" s="296"/>
      <c r="F42" s="296"/>
    </row>
    <row r="43" spans="1:6" ht="15">
      <c r="A43" s="300" t="s">
        <v>368</v>
      </c>
      <c r="B43" s="296"/>
      <c r="C43" s="296"/>
      <c r="D43" s="296"/>
      <c r="E43" s="296"/>
      <c r="F43" s="296"/>
    </row>
    <row r="44" spans="1:6" ht="15">
      <c r="A44" s="300" t="s">
        <v>369</v>
      </c>
      <c r="B44" s="296"/>
      <c r="C44" s="296"/>
      <c r="D44" s="296"/>
      <c r="E44" s="296"/>
      <c r="F44" s="296"/>
    </row>
    <row r="45" ht="15">
      <c r="A45" s="296"/>
    </row>
    <row r="46" spans="1:6" ht="15">
      <c r="A46" s="300" t="str">
        <f>CONCATENATE("Additionally, do your ",inputPrYr!C6-1," receipts contain a reimbursement")</f>
        <v>Additionally, do your -1 receipts contain a reimbursement</v>
      </c>
      <c r="B46" s="296"/>
      <c r="C46" s="296"/>
      <c r="D46" s="296"/>
      <c r="E46" s="296"/>
      <c r="F46" s="296"/>
    </row>
    <row r="47" spans="1:6" ht="15">
      <c r="A47" s="300" t="s">
        <v>370</v>
      </c>
      <c r="B47" s="296"/>
      <c r="C47" s="296"/>
      <c r="D47" s="296"/>
      <c r="E47" s="296"/>
      <c r="F47" s="296"/>
    </row>
    <row r="48" spans="1:6" ht="15">
      <c r="A48" s="300" t="s">
        <v>371</v>
      </c>
      <c r="B48" s="296"/>
      <c r="C48" s="296"/>
      <c r="D48" s="296"/>
      <c r="E48" s="296"/>
      <c r="F48" s="296"/>
    </row>
    <row r="49" spans="1:7" ht="15">
      <c r="A49" s="296"/>
      <c r="B49" s="296"/>
      <c r="C49" s="296"/>
      <c r="D49" s="296"/>
      <c r="E49" s="296"/>
      <c r="F49" s="296"/>
      <c r="G49" s="296"/>
    </row>
    <row r="50" spans="1:7" ht="15">
      <c r="A50" s="296" t="s">
        <v>438</v>
      </c>
      <c r="B50" s="296"/>
      <c r="C50" s="296"/>
      <c r="D50" s="296"/>
      <c r="E50" s="296"/>
      <c r="F50" s="296"/>
      <c r="G50" s="296"/>
    </row>
    <row r="51" spans="1:7" ht="15">
      <c r="A51" s="296" t="s">
        <v>439</v>
      </c>
      <c r="B51" s="296"/>
      <c r="C51" s="296"/>
      <c r="D51" s="296"/>
      <c r="E51" s="296"/>
      <c r="F51" s="296"/>
      <c r="G51" s="296"/>
    </row>
    <row r="52" spans="1:7" ht="15">
      <c r="A52" s="296" t="s">
        <v>440</v>
      </c>
      <c r="B52" s="296"/>
      <c r="C52" s="296"/>
      <c r="D52" s="296"/>
      <c r="E52" s="296"/>
      <c r="F52" s="296"/>
      <c r="G52" s="296"/>
    </row>
    <row r="53" spans="1:7" ht="15">
      <c r="A53" s="296" t="s">
        <v>441</v>
      </c>
      <c r="B53" s="296"/>
      <c r="C53" s="296"/>
      <c r="D53" s="296"/>
      <c r="E53" s="296"/>
      <c r="F53" s="296"/>
      <c r="G53" s="296"/>
    </row>
    <row r="54" spans="1:7" ht="15">
      <c r="A54" s="296" t="s">
        <v>442</v>
      </c>
      <c r="B54" s="296"/>
      <c r="C54" s="296"/>
      <c r="D54" s="296"/>
      <c r="E54" s="296"/>
      <c r="F54" s="296"/>
      <c r="G54" s="296"/>
    </row>
    <row r="55" spans="1:7" ht="15">
      <c r="A55" s="296"/>
      <c r="B55" s="296"/>
      <c r="C55" s="296"/>
      <c r="D55" s="296"/>
      <c r="E55" s="296"/>
      <c r="F55" s="296"/>
      <c r="G55" s="296"/>
    </row>
    <row r="56" spans="1:6" ht="15">
      <c r="A56" s="300" t="s">
        <v>380</v>
      </c>
      <c r="B56" s="296"/>
      <c r="C56" s="296"/>
      <c r="D56" s="296"/>
      <c r="E56" s="296"/>
      <c r="F56" s="296"/>
    </row>
    <row r="57" spans="1:6" ht="15">
      <c r="A57" s="300" t="s">
        <v>381</v>
      </c>
      <c r="B57" s="296"/>
      <c r="C57" s="296"/>
      <c r="D57" s="296"/>
      <c r="E57" s="296"/>
      <c r="F57" s="296"/>
    </row>
    <row r="58" spans="1:6" ht="15">
      <c r="A58" s="300" t="s">
        <v>382</v>
      </c>
      <c r="B58" s="296"/>
      <c r="C58" s="296"/>
      <c r="D58" s="296"/>
      <c r="E58" s="296"/>
      <c r="F58" s="296"/>
    </row>
    <row r="59" spans="1:6" ht="15">
      <c r="A59" s="300"/>
      <c r="B59" s="296"/>
      <c r="C59" s="296"/>
      <c r="D59" s="296"/>
      <c r="E59" s="296"/>
      <c r="F59" s="296"/>
    </row>
    <row r="60" spans="1:7" ht="15">
      <c r="A60" s="296" t="s">
        <v>521</v>
      </c>
      <c r="B60" s="296"/>
      <c r="C60" s="296"/>
      <c r="D60" s="296"/>
      <c r="E60" s="296"/>
      <c r="F60" s="296"/>
      <c r="G60" s="296"/>
    </row>
    <row r="61" spans="1:7" ht="15">
      <c r="A61" s="296" t="s">
        <v>522</v>
      </c>
      <c r="B61" s="296"/>
      <c r="C61" s="296"/>
      <c r="D61" s="296"/>
      <c r="E61" s="296"/>
      <c r="F61" s="296"/>
      <c r="G61" s="296"/>
    </row>
    <row r="62" spans="1:7" ht="15">
      <c r="A62" s="296" t="s">
        <v>523</v>
      </c>
      <c r="B62" s="296"/>
      <c r="C62" s="296"/>
      <c r="D62" s="296"/>
      <c r="E62" s="296"/>
      <c r="F62" s="296"/>
      <c r="G62" s="296"/>
    </row>
    <row r="63" spans="1:7" ht="15">
      <c r="A63" s="296" t="s">
        <v>524</v>
      </c>
      <c r="B63" s="296"/>
      <c r="C63" s="296"/>
      <c r="D63" s="296"/>
      <c r="E63" s="296"/>
      <c r="F63" s="296"/>
      <c r="G63" s="296"/>
    </row>
    <row r="64" spans="1:7" ht="15">
      <c r="A64" s="296" t="s">
        <v>525</v>
      </c>
      <c r="B64" s="296"/>
      <c r="C64" s="296"/>
      <c r="D64" s="296"/>
      <c r="E64" s="296"/>
      <c r="F64" s="296"/>
      <c r="G64" s="296"/>
    </row>
    <row r="66" spans="1:6" ht="15">
      <c r="A66" s="300" t="s">
        <v>488</v>
      </c>
      <c r="B66" s="296"/>
      <c r="C66" s="296"/>
      <c r="D66" s="296"/>
      <c r="E66" s="296"/>
      <c r="F66" s="296"/>
    </row>
    <row r="67" spans="1:6" ht="15">
      <c r="A67" s="300" t="s">
        <v>489</v>
      </c>
      <c r="B67" s="296"/>
      <c r="C67" s="296"/>
      <c r="D67" s="296"/>
      <c r="E67" s="296"/>
      <c r="F67" s="296"/>
    </row>
    <row r="68" spans="1:6" ht="15">
      <c r="A68" s="300" t="s">
        <v>490</v>
      </c>
      <c r="B68" s="296"/>
      <c r="C68" s="296"/>
      <c r="D68" s="296"/>
      <c r="E68" s="296"/>
      <c r="F68" s="296"/>
    </row>
    <row r="69" spans="1:6" ht="15">
      <c r="A69" s="300" t="s">
        <v>491</v>
      </c>
      <c r="B69" s="296"/>
      <c r="C69" s="296"/>
      <c r="D69" s="296"/>
      <c r="E69" s="296"/>
      <c r="F69" s="296"/>
    </row>
    <row r="70" spans="1:6" ht="15">
      <c r="A70" s="300" t="s">
        <v>492</v>
      </c>
      <c r="B70" s="296"/>
      <c r="C70" s="296"/>
      <c r="D70" s="296"/>
      <c r="E70" s="296"/>
      <c r="F70" s="296"/>
    </row>
    <row r="71" ht="15">
      <c r="A71" s="296"/>
    </row>
    <row r="72" ht="15">
      <c r="A72" s="296" t="s">
        <v>409</v>
      </c>
    </row>
    <row r="73" ht="15">
      <c r="A73" s="296"/>
    </row>
    <row r="74" ht="15">
      <c r="A74" s="296"/>
    </row>
    <row r="75" ht="15">
      <c r="A75" s="296"/>
    </row>
    <row r="78" ht="15">
      <c r="A78" s="297"/>
    </row>
    <row r="80" ht="15">
      <c r="A80" s="296"/>
    </row>
    <row r="81" ht="15">
      <c r="A81" s="296"/>
    </row>
    <row r="82" ht="15">
      <c r="A82" s="296"/>
    </row>
    <row r="83" ht="15">
      <c r="A83" s="296"/>
    </row>
    <row r="84" ht="15">
      <c r="A84" s="296"/>
    </row>
    <row r="85" ht="15">
      <c r="A85" s="296"/>
    </row>
    <row r="86" ht="15">
      <c r="A86" s="296"/>
    </row>
    <row r="87" ht="15">
      <c r="A87" s="296"/>
    </row>
    <row r="88" ht="15">
      <c r="A88" s="296"/>
    </row>
    <row r="89" ht="15">
      <c r="A89" s="296"/>
    </row>
    <row r="90" ht="15">
      <c r="A90" s="296"/>
    </row>
    <row r="92" ht="15">
      <c r="A92" s="296"/>
    </row>
    <row r="93" ht="15">
      <c r="A93" s="296"/>
    </row>
    <row r="94" ht="15">
      <c r="A94" s="296"/>
    </row>
    <row r="95" ht="15">
      <c r="A95" s="296"/>
    </row>
    <row r="96" ht="15">
      <c r="A96" s="296"/>
    </row>
    <row r="97" ht="15">
      <c r="A97" s="296"/>
    </row>
    <row r="98" ht="15">
      <c r="A98" s="296"/>
    </row>
    <row r="99" ht="15">
      <c r="A99" s="296"/>
    </row>
    <row r="100" ht="15">
      <c r="A100" s="296"/>
    </row>
    <row r="101" ht="15">
      <c r="A101" s="296"/>
    </row>
    <row r="102" ht="15">
      <c r="A102" s="296"/>
    </row>
    <row r="103" ht="15">
      <c r="A103" s="296"/>
    </row>
    <row r="104" ht="15">
      <c r="A104" s="296"/>
    </row>
    <row r="105" ht="15">
      <c r="A105" s="296"/>
    </row>
    <row r="106" ht="15">
      <c r="A106" s="29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100" sqref="N100"/>
    </sheetView>
  </sheetViews>
  <sheetFormatPr defaultColWidth="8.796875" defaultRowHeight="15"/>
  <cols>
    <col min="1" max="1" width="71.296875" style="0" customWidth="1"/>
  </cols>
  <sheetData>
    <row r="3" spans="1:7" ht="15">
      <c r="A3" s="295" t="s">
        <v>526</v>
      </c>
      <c r="B3" s="295"/>
      <c r="C3" s="295"/>
      <c r="D3" s="295"/>
      <c r="E3" s="295"/>
      <c r="F3" s="295"/>
      <c r="G3" s="295"/>
    </row>
    <row r="4" spans="1:7" ht="15">
      <c r="A4" s="295" t="s">
        <v>527</v>
      </c>
      <c r="B4" s="295"/>
      <c r="C4" s="295"/>
      <c r="D4" s="295"/>
      <c r="E4" s="295"/>
      <c r="F4" s="295"/>
      <c r="G4" s="295"/>
    </row>
    <row r="5" spans="1:7" ht="15">
      <c r="A5" s="295"/>
      <c r="B5" s="295"/>
      <c r="C5" s="295"/>
      <c r="D5" s="295"/>
      <c r="E5" s="295"/>
      <c r="F5" s="295"/>
      <c r="G5" s="295"/>
    </row>
    <row r="6" spans="1:7" ht="15">
      <c r="A6" s="295"/>
      <c r="B6" s="295"/>
      <c r="C6" s="295"/>
      <c r="D6" s="295"/>
      <c r="E6" s="295"/>
      <c r="F6" s="295"/>
      <c r="G6" s="295"/>
    </row>
    <row r="7" ht="15">
      <c r="A7" s="296" t="s">
        <v>354</v>
      </c>
    </row>
    <row r="8" ht="15">
      <c r="A8" s="296" t="str">
        <f>CONCATENATE("estimated ",inputPrYr!C6," 'total expenditures' exceed your ",inputPrYr!C6,"")</f>
        <v>estimated  'total expenditures' exceed your </v>
      </c>
    </row>
    <row r="9" ht="15">
      <c r="A9" s="299" t="s">
        <v>528</v>
      </c>
    </row>
    <row r="10" ht="15">
      <c r="A10" s="296"/>
    </row>
    <row r="11" ht="15">
      <c r="A11" s="296" t="s">
        <v>529</v>
      </c>
    </row>
    <row r="12" ht="15">
      <c r="A12" s="296" t="s">
        <v>530</v>
      </c>
    </row>
    <row r="13" ht="15">
      <c r="A13" s="296" t="s">
        <v>531</v>
      </c>
    </row>
    <row r="14" ht="15">
      <c r="A14" s="296"/>
    </row>
    <row r="15" ht="15">
      <c r="A15" s="297" t="s">
        <v>532</v>
      </c>
    </row>
    <row r="16" spans="1:7" ht="15">
      <c r="A16" s="295"/>
      <c r="B16" s="295"/>
      <c r="C16" s="295"/>
      <c r="D16" s="295"/>
      <c r="E16" s="295"/>
      <c r="F16" s="295"/>
      <c r="G16" s="295"/>
    </row>
    <row r="17" spans="1:8" ht="15">
      <c r="A17" s="302" t="s">
        <v>533</v>
      </c>
      <c r="B17" s="303"/>
      <c r="C17" s="303"/>
      <c r="D17" s="303"/>
      <c r="E17" s="303"/>
      <c r="F17" s="303"/>
      <c r="G17" s="303"/>
      <c r="H17" s="303"/>
    </row>
    <row r="18" spans="1:7" ht="15">
      <c r="A18" s="296" t="s">
        <v>534</v>
      </c>
      <c r="B18" s="304"/>
      <c r="C18" s="304"/>
      <c r="D18" s="304"/>
      <c r="E18" s="304"/>
      <c r="F18" s="304"/>
      <c r="G18" s="304"/>
    </row>
    <row r="19" ht="15">
      <c r="A19" s="296" t="s">
        <v>535</v>
      </c>
    </row>
    <row r="20" ht="15">
      <c r="A20" s="296" t="s">
        <v>536</v>
      </c>
    </row>
    <row r="22" ht="15">
      <c r="A22" s="297" t="s">
        <v>537</v>
      </c>
    </row>
    <row r="24" ht="15">
      <c r="A24" s="296" t="s">
        <v>538</v>
      </c>
    </row>
    <row r="25" ht="15">
      <c r="A25" s="296" t="s">
        <v>539</v>
      </c>
    </row>
    <row r="26" ht="15">
      <c r="A26" s="296" t="s">
        <v>540</v>
      </c>
    </row>
    <row r="28" ht="15">
      <c r="A28" s="297" t="s">
        <v>541</v>
      </c>
    </row>
    <row r="30" ht="15">
      <c r="A30" t="s">
        <v>542</v>
      </c>
    </row>
    <row r="31" ht="15">
      <c r="A31" t="s">
        <v>543</v>
      </c>
    </row>
    <row r="32" ht="15">
      <c r="A32" t="s">
        <v>544</v>
      </c>
    </row>
    <row r="33" ht="15">
      <c r="A33" s="296" t="s">
        <v>545</v>
      </c>
    </row>
    <row r="35" ht="15">
      <c r="A35" t="s">
        <v>546</v>
      </c>
    </row>
    <row r="36" ht="15">
      <c r="A36" t="s">
        <v>547</v>
      </c>
    </row>
    <row r="37" ht="15">
      <c r="A37" t="s">
        <v>548</v>
      </c>
    </row>
    <row r="38" ht="15">
      <c r="A38" t="s">
        <v>549</v>
      </c>
    </row>
    <row r="40" ht="15">
      <c r="A40" t="s">
        <v>550</v>
      </c>
    </row>
    <row r="41" ht="15">
      <c r="A41" t="s">
        <v>551</v>
      </c>
    </row>
    <row r="42" ht="15">
      <c r="A42" t="s">
        <v>552</v>
      </c>
    </row>
    <row r="43" ht="15">
      <c r="A43" t="s">
        <v>553</v>
      </c>
    </row>
    <row r="44" ht="15">
      <c r="A44" t="s">
        <v>554</v>
      </c>
    </row>
    <row r="45" ht="15">
      <c r="A45" t="s">
        <v>555</v>
      </c>
    </row>
    <row r="47" ht="15">
      <c r="A47" t="s">
        <v>556</v>
      </c>
    </row>
    <row r="48" ht="15">
      <c r="A48" t="s">
        <v>557</v>
      </c>
    </row>
    <row r="49" ht="15">
      <c r="A49" s="296" t="s">
        <v>558</v>
      </c>
    </row>
    <row r="50" ht="15">
      <c r="A50" s="296" t="s">
        <v>559</v>
      </c>
    </row>
    <row r="52" ht="15">
      <c r="A52" t="s">
        <v>409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dimension ref="A1:X354"/>
  <sheetViews>
    <sheetView zoomScalePageLayoutView="0" workbookViewId="0" topLeftCell="A1">
      <selection activeCell="R31" sqref="R31"/>
    </sheetView>
  </sheetViews>
  <sheetFormatPr defaultColWidth="8.796875" defaultRowHeight="15"/>
  <cols>
    <col min="1" max="1" width="7.59765625" style="446" customWidth="1"/>
    <col min="2" max="2" width="11.19921875" style="380" customWidth="1"/>
    <col min="3" max="3" width="7.3984375" style="380" customWidth="1"/>
    <col min="4" max="4" width="8.8984375" style="380" customWidth="1"/>
    <col min="5" max="5" width="1.59765625" style="380" customWidth="1"/>
    <col min="6" max="6" width="14.296875" style="380" customWidth="1"/>
    <col min="7" max="7" width="2.59765625" style="380" customWidth="1"/>
    <col min="8" max="8" width="9.796875" style="380" customWidth="1"/>
    <col min="9" max="9" width="2" style="380" customWidth="1"/>
    <col min="10" max="10" width="8.59765625" style="380" customWidth="1"/>
    <col min="11" max="11" width="11.69921875" style="380" customWidth="1"/>
    <col min="12" max="12" width="7.59765625" style="446" customWidth="1"/>
    <col min="13" max="14" width="8.8984375" style="446" customWidth="1"/>
    <col min="15" max="15" width="9.8984375" style="446" bestFit="1" customWidth="1"/>
    <col min="16" max="16384" width="8.8984375" style="446" customWidth="1"/>
  </cols>
  <sheetData>
    <row r="1" spans="1:12" ht="14.25">
      <c r="A1" s="379"/>
      <c r="B1" s="379"/>
      <c r="C1" s="379"/>
      <c r="D1" s="379"/>
      <c r="E1" s="379"/>
      <c r="F1" s="379"/>
      <c r="G1" s="379"/>
      <c r="H1" s="379"/>
      <c r="I1" s="379"/>
      <c r="J1" s="379"/>
      <c r="K1" s="379"/>
      <c r="L1" s="379"/>
    </row>
    <row r="2" spans="1:12" ht="14.25">
      <c r="A2" s="379"/>
      <c r="B2" s="379"/>
      <c r="C2" s="379"/>
      <c r="D2" s="379"/>
      <c r="E2" s="379"/>
      <c r="F2" s="379"/>
      <c r="G2" s="379"/>
      <c r="H2" s="379"/>
      <c r="I2" s="379"/>
      <c r="J2" s="379"/>
      <c r="K2" s="379"/>
      <c r="L2" s="379"/>
    </row>
    <row r="3" spans="1:12" ht="14.25">
      <c r="A3" s="379"/>
      <c r="B3" s="379"/>
      <c r="C3" s="379"/>
      <c r="D3" s="379"/>
      <c r="E3" s="379"/>
      <c r="F3" s="379"/>
      <c r="G3" s="379"/>
      <c r="H3" s="379"/>
      <c r="I3" s="379"/>
      <c r="J3" s="379"/>
      <c r="K3" s="379"/>
      <c r="L3" s="379"/>
    </row>
    <row r="4" spans="1:12" ht="14.25">
      <c r="A4" s="379"/>
      <c r="L4" s="379"/>
    </row>
    <row r="5" spans="1:12" ht="15" customHeight="1">
      <c r="A5" s="379"/>
      <c r="L5" s="379"/>
    </row>
    <row r="6" spans="1:12" ht="33" customHeight="1">
      <c r="A6" s="379"/>
      <c r="B6" s="1077" t="s">
        <v>966</v>
      </c>
      <c r="C6" s="1090"/>
      <c r="D6" s="1090"/>
      <c r="E6" s="1090"/>
      <c r="F6" s="1090"/>
      <c r="G6" s="1090"/>
      <c r="H6" s="1090"/>
      <c r="I6" s="1090"/>
      <c r="J6" s="1090"/>
      <c r="K6" s="1090"/>
      <c r="L6" s="381"/>
    </row>
    <row r="7" spans="1:12" ht="40.5" customHeight="1">
      <c r="A7" s="379"/>
      <c r="B7" s="1092" t="s">
        <v>621</v>
      </c>
      <c r="C7" s="1093"/>
      <c r="D7" s="1093"/>
      <c r="E7" s="1093"/>
      <c r="F7" s="1093"/>
      <c r="G7" s="1093"/>
      <c r="H7" s="1093"/>
      <c r="I7" s="1093"/>
      <c r="J7" s="1093"/>
      <c r="K7" s="1093"/>
      <c r="L7" s="379"/>
    </row>
    <row r="8" spans="1:12" ht="14.25">
      <c r="A8" s="379"/>
      <c r="B8" s="1085" t="s">
        <v>622</v>
      </c>
      <c r="C8" s="1085"/>
      <c r="D8" s="1085"/>
      <c r="E8" s="1085"/>
      <c r="F8" s="1085"/>
      <c r="G8" s="1085"/>
      <c r="H8" s="1085"/>
      <c r="I8" s="1085"/>
      <c r="J8" s="1085"/>
      <c r="K8" s="1085"/>
      <c r="L8" s="379"/>
    </row>
    <row r="9" spans="1:12" ht="14.25">
      <c r="A9" s="379"/>
      <c r="L9" s="379"/>
    </row>
    <row r="10" spans="1:12" ht="14.25">
      <c r="A10" s="379"/>
      <c r="B10" s="1085" t="s">
        <v>623</v>
      </c>
      <c r="C10" s="1085"/>
      <c r="D10" s="1085"/>
      <c r="E10" s="1085"/>
      <c r="F10" s="1085"/>
      <c r="G10" s="1085"/>
      <c r="H10" s="1085"/>
      <c r="I10" s="1085"/>
      <c r="J10" s="1085"/>
      <c r="K10" s="1085"/>
      <c r="L10" s="379"/>
    </row>
    <row r="11" spans="1:12" ht="14.25">
      <c r="A11" s="379"/>
      <c r="B11" s="591"/>
      <c r="C11" s="591"/>
      <c r="D11" s="591"/>
      <c r="E11" s="591"/>
      <c r="F11" s="591"/>
      <c r="G11" s="591"/>
      <c r="H11" s="591"/>
      <c r="I11" s="591"/>
      <c r="J11" s="591"/>
      <c r="K11" s="591"/>
      <c r="L11" s="379"/>
    </row>
    <row r="12" spans="1:12" ht="32.25" customHeight="1">
      <c r="A12" s="379"/>
      <c r="B12" s="1078" t="s">
        <v>624</v>
      </c>
      <c r="C12" s="1078"/>
      <c r="D12" s="1078"/>
      <c r="E12" s="1078"/>
      <c r="F12" s="1078"/>
      <c r="G12" s="1078"/>
      <c r="H12" s="1078"/>
      <c r="I12" s="1078"/>
      <c r="J12" s="1078"/>
      <c r="K12" s="1078"/>
      <c r="L12" s="379"/>
    </row>
    <row r="13" spans="1:12" ht="14.25">
      <c r="A13" s="379"/>
      <c r="L13" s="379"/>
    </row>
    <row r="14" spans="1:12" ht="14.25">
      <c r="A14" s="379"/>
      <c r="B14" s="382" t="s">
        <v>625</v>
      </c>
      <c r="L14" s="379"/>
    </row>
    <row r="15" spans="1:12" ht="14.25">
      <c r="A15" s="379"/>
      <c r="L15" s="379"/>
    </row>
    <row r="16" spans="1:12" ht="14.25">
      <c r="A16" s="379"/>
      <c r="B16" s="380" t="s">
        <v>626</v>
      </c>
      <c r="L16" s="379"/>
    </row>
    <row r="17" spans="1:12" ht="14.25">
      <c r="A17" s="379"/>
      <c r="B17" s="380" t="s">
        <v>627</v>
      </c>
      <c r="L17" s="379"/>
    </row>
    <row r="18" spans="1:12" ht="14.25">
      <c r="A18" s="379"/>
      <c r="L18" s="379"/>
    </row>
    <row r="19" spans="1:12" ht="14.25">
      <c r="A19" s="379"/>
      <c r="B19" s="382" t="s">
        <v>835</v>
      </c>
      <c r="L19" s="379"/>
    </row>
    <row r="20" spans="1:12" ht="14.25">
      <c r="A20" s="379"/>
      <c r="B20" s="382"/>
      <c r="L20" s="379"/>
    </row>
    <row r="21" spans="1:12" ht="14.25">
      <c r="A21" s="379"/>
      <c r="B21" s="380" t="s">
        <v>836</v>
      </c>
      <c r="L21" s="379"/>
    </row>
    <row r="22" spans="1:12" ht="14.25">
      <c r="A22" s="379"/>
      <c r="L22" s="379"/>
    </row>
    <row r="23" spans="1:12" ht="14.25">
      <c r="A23" s="379"/>
      <c r="B23" s="380" t="s">
        <v>628</v>
      </c>
      <c r="E23" s="380" t="s">
        <v>629</v>
      </c>
      <c r="F23" s="1074">
        <v>312000000</v>
      </c>
      <c r="G23" s="1074"/>
      <c r="L23" s="379"/>
    </row>
    <row r="24" spans="1:12" ht="14.25">
      <c r="A24" s="379"/>
      <c r="L24" s="379"/>
    </row>
    <row r="25" spans="1:12" ht="14.25">
      <c r="A25" s="379"/>
      <c r="C25" s="1094">
        <f>F23</f>
        <v>312000000</v>
      </c>
      <c r="D25" s="1094"/>
      <c r="E25" s="380" t="s">
        <v>630</v>
      </c>
      <c r="F25" s="383">
        <v>1000</v>
      </c>
      <c r="G25" s="383" t="s">
        <v>629</v>
      </c>
      <c r="H25" s="712">
        <f>F23/F25</f>
        <v>312000</v>
      </c>
      <c r="L25" s="379"/>
    </row>
    <row r="26" spans="1:12" ht="15" thickBot="1">
      <c r="A26" s="379"/>
      <c r="L26" s="379"/>
    </row>
    <row r="27" spans="1:12" ht="14.25">
      <c r="A27" s="379"/>
      <c r="B27" s="384" t="s">
        <v>625</v>
      </c>
      <c r="C27" s="385"/>
      <c r="D27" s="385"/>
      <c r="E27" s="385"/>
      <c r="F27" s="385"/>
      <c r="G27" s="385"/>
      <c r="H27" s="385"/>
      <c r="I27" s="385"/>
      <c r="J27" s="385"/>
      <c r="K27" s="386"/>
      <c r="L27" s="379"/>
    </row>
    <row r="28" spans="1:12" ht="14.25">
      <c r="A28" s="379"/>
      <c r="B28" s="387">
        <f>F23</f>
        <v>312000000</v>
      </c>
      <c r="C28" s="388" t="s">
        <v>631</v>
      </c>
      <c r="D28" s="388"/>
      <c r="E28" s="388" t="s">
        <v>630</v>
      </c>
      <c r="F28" s="585">
        <v>1000</v>
      </c>
      <c r="G28" s="585" t="s">
        <v>629</v>
      </c>
      <c r="H28" s="713">
        <f>B28/F28</f>
        <v>312000</v>
      </c>
      <c r="I28" s="388" t="s">
        <v>632</v>
      </c>
      <c r="J28" s="388"/>
      <c r="K28" s="389"/>
      <c r="L28" s="379"/>
    </row>
    <row r="29" spans="1:12" ht="15" thickBot="1">
      <c r="A29" s="379"/>
      <c r="B29" s="390"/>
      <c r="C29" s="391"/>
      <c r="D29" s="391"/>
      <c r="E29" s="391"/>
      <c r="F29" s="391"/>
      <c r="G29" s="391"/>
      <c r="H29" s="391"/>
      <c r="I29" s="391"/>
      <c r="J29" s="391"/>
      <c r="K29" s="392"/>
      <c r="L29" s="379"/>
    </row>
    <row r="30" spans="1:12" ht="40.5" customHeight="1">
      <c r="A30" s="379"/>
      <c r="B30" s="1076" t="s">
        <v>621</v>
      </c>
      <c r="C30" s="1076"/>
      <c r="D30" s="1076"/>
      <c r="E30" s="1076"/>
      <c r="F30" s="1076"/>
      <c r="G30" s="1076"/>
      <c r="H30" s="1076"/>
      <c r="I30" s="1076"/>
      <c r="J30" s="1076"/>
      <c r="K30" s="1076"/>
      <c r="L30" s="379"/>
    </row>
    <row r="31" spans="1:12" ht="14.25">
      <c r="A31" s="379"/>
      <c r="B31" s="1085" t="s">
        <v>633</v>
      </c>
      <c r="C31" s="1085"/>
      <c r="D31" s="1085"/>
      <c r="E31" s="1085"/>
      <c r="F31" s="1085"/>
      <c r="G31" s="1085"/>
      <c r="H31" s="1085"/>
      <c r="I31" s="1085"/>
      <c r="J31" s="1085"/>
      <c r="K31" s="1085"/>
      <c r="L31" s="379"/>
    </row>
    <row r="32" spans="1:12" ht="14.25">
      <c r="A32" s="379"/>
      <c r="L32" s="379"/>
    </row>
    <row r="33" spans="1:12" ht="14.25">
      <c r="A33" s="379"/>
      <c r="B33" s="1085" t="s">
        <v>634</v>
      </c>
      <c r="C33" s="1085"/>
      <c r="D33" s="1085"/>
      <c r="E33" s="1085"/>
      <c r="F33" s="1085"/>
      <c r="G33" s="1085"/>
      <c r="H33" s="1085"/>
      <c r="I33" s="1085"/>
      <c r="J33" s="1085"/>
      <c r="K33" s="1085"/>
      <c r="L33" s="379"/>
    </row>
    <row r="34" spans="1:12" ht="14.25">
      <c r="A34" s="379"/>
      <c r="L34" s="379"/>
    </row>
    <row r="35" spans="1:12" ht="89.25" customHeight="1">
      <c r="A35" s="379"/>
      <c r="B35" s="1078" t="s">
        <v>635</v>
      </c>
      <c r="C35" s="1086"/>
      <c r="D35" s="1086"/>
      <c r="E35" s="1086"/>
      <c r="F35" s="1086"/>
      <c r="G35" s="1086"/>
      <c r="H35" s="1086"/>
      <c r="I35" s="1086"/>
      <c r="J35" s="1086"/>
      <c r="K35" s="1086"/>
      <c r="L35" s="379"/>
    </row>
    <row r="36" spans="1:12" ht="14.25">
      <c r="A36" s="379"/>
      <c r="L36" s="379"/>
    </row>
    <row r="37" spans="1:12" ht="14.25">
      <c r="A37" s="379"/>
      <c r="B37" s="382" t="s">
        <v>636</v>
      </c>
      <c r="L37" s="379"/>
    </row>
    <row r="38" spans="1:12" ht="14.25">
      <c r="A38" s="379"/>
      <c r="L38" s="379"/>
    </row>
    <row r="39" spans="1:12" ht="14.25">
      <c r="A39" s="379"/>
      <c r="B39" s="380" t="s">
        <v>637</v>
      </c>
      <c r="L39" s="379"/>
    </row>
    <row r="40" spans="1:12" ht="14.25">
      <c r="A40" s="379"/>
      <c r="L40" s="379"/>
    </row>
    <row r="41" spans="1:12" ht="14.25">
      <c r="A41" s="379"/>
      <c r="C41" s="1087">
        <v>312000000</v>
      </c>
      <c r="D41" s="1087"/>
      <c r="E41" s="380" t="s">
        <v>630</v>
      </c>
      <c r="F41" s="383">
        <v>1000</v>
      </c>
      <c r="G41" s="383" t="s">
        <v>629</v>
      </c>
      <c r="H41" s="714">
        <f>C41/F41</f>
        <v>312000</v>
      </c>
      <c r="L41" s="379"/>
    </row>
    <row r="42" spans="1:12" ht="14.25">
      <c r="A42" s="379"/>
      <c r="L42" s="379"/>
    </row>
    <row r="43" spans="1:12" ht="14.25">
      <c r="A43" s="379"/>
      <c r="B43" s="380" t="s">
        <v>638</v>
      </c>
      <c r="L43" s="379"/>
    </row>
    <row r="44" spans="1:12" ht="14.25">
      <c r="A44" s="379"/>
      <c r="L44" s="379"/>
    </row>
    <row r="45" spans="1:12" ht="14.25">
      <c r="A45" s="379"/>
      <c r="B45" s="380" t="s">
        <v>639</v>
      </c>
      <c r="L45" s="379"/>
    </row>
    <row r="46" spans="1:12" ht="15" thickBot="1">
      <c r="A46" s="379"/>
      <c r="L46" s="379"/>
    </row>
    <row r="47" spans="1:12" ht="14.25">
      <c r="A47" s="379"/>
      <c r="B47" s="393" t="s">
        <v>625</v>
      </c>
      <c r="C47" s="385"/>
      <c r="D47" s="385"/>
      <c r="E47" s="385"/>
      <c r="F47" s="385"/>
      <c r="G47" s="385"/>
      <c r="H47" s="385"/>
      <c r="I47" s="385"/>
      <c r="J47" s="385"/>
      <c r="K47" s="386"/>
      <c r="L47" s="379"/>
    </row>
    <row r="48" spans="1:12" ht="14.25">
      <c r="A48" s="379"/>
      <c r="B48" s="1080">
        <v>312000000</v>
      </c>
      <c r="C48" s="1074"/>
      <c r="D48" s="388" t="s">
        <v>640</v>
      </c>
      <c r="E48" s="388" t="s">
        <v>630</v>
      </c>
      <c r="F48" s="585">
        <v>1000</v>
      </c>
      <c r="G48" s="585" t="s">
        <v>629</v>
      </c>
      <c r="H48" s="713">
        <f>B48/F48</f>
        <v>312000</v>
      </c>
      <c r="I48" s="388" t="s">
        <v>641</v>
      </c>
      <c r="J48" s="388"/>
      <c r="K48" s="389"/>
      <c r="L48" s="379"/>
    </row>
    <row r="49" spans="1:12" ht="14.25">
      <c r="A49" s="379"/>
      <c r="B49" s="394"/>
      <c r="C49" s="388"/>
      <c r="D49" s="388"/>
      <c r="E49" s="388"/>
      <c r="F49" s="388"/>
      <c r="G49" s="388"/>
      <c r="H49" s="388"/>
      <c r="I49" s="388"/>
      <c r="J49" s="388"/>
      <c r="K49" s="389"/>
      <c r="L49" s="379"/>
    </row>
    <row r="50" spans="1:12" ht="14.25">
      <c r="A50" s="379"/>
      <c r="B50" s="395">
        <v>50000</v>
      </c>
      <c r="C50" s="388" t="s">
        <v>642</v>
      </c>
      <c r="D50" s="388"/>
      <c r="E50" s="388" t="s">
        <v>630</v>
      </c>
      <c r="F50" s="713">
        <f>H48</f>
        <v>312000</v>
      </c>
      <c r="G50" s="1081" t="s">
        <v>643</v>
      </c>
      <c r="H50" s="1082"/>
      <c r="I50" s="585" t="s">
        <v>629</v>
      </c>
      <c r="J50" s="396">
        <f>B50/F50</f>
        <v>0.16025641025641027</v>
      </c>
      <c r="K50" s="389"/>
      <c r="L50" s="379"/>
    </row>
    <row r="51" spans="1:15" ht="15" thickBot="1">
      <c r="A51" s="379"/>
      <c r="B51" s="390"/>
      <c r="C51" s="391"/>
      <c r="D51" s="391"/>
      <c r="E51" s="391"/>
      <c r="F51" s="391"/>
      <c r="G51" s="391"/>
      <c r="H51" s="391"/>
      <c r="I51" s="1083" t="s">
        <v>644</v>
      </c>
      <c r="J51" s="1083"/>
      <c r="K51" s="1084"/>
      <c r="L51" s="379"/>
      <c r="O51" s="495"/>
    </row>
    <row r="52" spans="1:12" ht="40.5" customHeight="1">
      <c r="A52" s="379"/>
      <c r="B52" s="1076" t="s">
        <v>621</v>
      </c>
      <c r="C52" s="1076"/>
      <c r="D52" s="1076"/>
      <c r="E52" s="1076"/>
      <c r="F52" s="1076"/>
      <c r="G52" s="1076"/>
      <c r="H52" s="1076"/>
      <c r="I52" s="1076"/>
      <c r="J52" s="1076"/>
      <c r="K52" s="1076"/>
      <c r="L52" s="379"/>
    </row>
    <row r="53" spans="1:12" ht="14.25">
      <c r="A53" s="379"/>
      <c r="B53" s="1085" t="s">
        <v>645</v>
      </c>
      <c r="C53" s="1085"/>
      <c r="D53" s="1085"/>
      <c r="E53" s="1085"/>
      <c r="F53" s="1085"/>
      <c r="G53" s="1085"/>
      <c r="H53" s="1085"/>
      <c r="I53" s="1085"/>
      <c r="J53" s="1085"/>
      <c r="K53" s="1085"/>
      <c r="L53" s="379"/>
    </row>
    <row r="54" spans="1:12" ht="14.25">
      <c r="A54" s="379"/>
      <c r="B54" s="591"/>
      <c r="C54" s="591"/>
      <c r="D54" s="591"/>
      <c r="E54" s="591"/>
      <c r="F54" s="591"/>
      <c r="G54" s="591"/>
      <c r="H54" s="591"/>
      <c r="I54" s="591"/>
      <c r="J54" s="591"/>
      <c r="K54" s="591"/>
      <c r="L54" s="379"/>
    </row>
    <row r="55" spans="1:12" ht="14.25">
      <c r="A55" s="379"/>
      <c r="B55" s="1077" t="s">
        <v>646</v>
      </c>
      <c r="C55" s="1077"/>
      <c r="D55" s="1077"/>
      <c r="E55" s="1077"/>
      <c r="F55" s="1077"/>
      <c r="G55" s="1077"/>
      <c r="H55" s="1077"/>
      <c r="I55" s="1077"/>
      <c r="J55" s="1077"/>
      <c r="K55" s="1077"/>
      <c r="L55" s="379"/>
    </row>
    <row r="56" spans="1:12" ht="15" customHeight="1">
      <c r="A56" s="379"/>
      <c r="L56" s="379"/>
    </row>
    <row r="57" spans="1:24" ht="74.25" customHeight="1">
      <c r="A57" s="379"/>
      <c r="B57" s="1078" t="s">
        <v>647</v>
      </c>
      <c r="C57" s="1086"/>
      <c r="D57" s="1086"/>
      <c r="E57" s="1086"/>
      <c r="F57" s="1086"/>
      <c r="G57" s="1086"/>
      <c r="H57" s="1086"/>
      <c r="I57" s="1086"/>
      <c r="J57" s="1086"/>
      <c r="K57" s="1086"/>
      <c r="L57" s="379"/>
      <c r="M57" s="397"/>
      <c r="N57" s="398"/>
      <c r="O57" s="398"/>
      <c r="P57" s="398"/>
      <c r="Q57" s="398"/>
      <c r="R57" s="398"/>
      <c r="S57" s="398"/>
      <c r="T57" s="398"/>
      <c r="U57" s="398"/>
      <c r="V57" s="398"/>
      <c r="W57" s="398"/>
      <c r="X57" s="398"/>
    </row>
    <row r="58" spans="1:24" ht="15" customHeight="1">
      <c r="A58" s="379"/>
      <c r="B58" s="1078"/>
      <c r="C58" s="1086"/>
      <c r="D58" s="1086"/>
      <c r="E58" s="1086"/>
      <c r="F58" s="1086"/>
      <c r="G58" s="1086"/>
      <c r="H58" s="1086"/>
      <c r="I58" s="1086"/>
      <c r="J58" s="1086"/>
      <c r="K58" s="1086"/>
      <c r="L58" s="379"/>
      <c r="M58" s="397"/>
      <c r="N58" s="398"/>
      <c r="O58" s="398"/>
      <c r="P58" s="398"/>
      <c r="Q58" s="398"/>
      <c r="R58" s="398"/>
      <c r="S58" s="398"/>
      <c r="T58" s="398"/>
      <c r="U58" s="398"/>
      <c r="V58" s="398"/>
      <c r="W58" s="398"/>
      <c r="X58" s="398"/>
    </row>
    <row r="59" spans="1:24" ht="14.25">
      <c r="A59" s="379"/>
      <c r="B59" s="382" t="s">
        <v>636</v>
      </c>
      <c r="L59" s="379"/>
      <c r="M59" s="398"/>
      <c r="N59" s="398"/>
      <c r="O59" s="398"/>
      <c r="P59" s="398"/>
      <c r="Q59" s="398"/>
      <c r="R59" s="398"/>
      <c r="S59" s="398"/>
      <c r="T59" s="398"/>
      <c r="U59" s="398"/>
      <c r="V59" s="398"/>
      <c r="W59" s="398"/>
      <c r="X59" s="398"/>
    </row>
    <row r="60" spans="1:24" ht="14.25">
      <c r="A60" s="379"/>
      <c r="L60" s="379"/>
      <c r="M60" s="398"/>
      <c r="N60" s="398"/>
      <c r="O60" s="398"/>
      <c r="P60" s="398"/>
      <c r="Q60" s="398"/>
      <c r="R60" s="398"/>
      <c r="S60" s="398"/>
      <c r="T60" s="398"/>
      <c r="U60" s="398"/>
      <c r="V60" s="398"/>
      <c r="W60" s="398"/>
      <c r="X60" s="398"/>
    </row>
    <row r="61" spans="1:24" ht="14.25">
      <c r="A61" s="379"/>
      <c r="B61" s="380" t="s">
        <v>648</v>
      </c>
      <c r="L61" s="379"/>
      <c r="M61" s="398"/>
      <c r="N61" s="398"/>
      <c r="O61" s="398"/>
      <c r="P61" s="398"/>
      <c r="Q61" s="398"/>
      <c r="R61" s="398"/>
      <c r="S61" s="398"/>
      <c r="T61" s="398"/>
      <c r="U61" s="398"/>
      <c r="V61" s="398"/>
      <c r="W61" s="398"/>
      <c r="X61" s="398"/>
    </row>
    <row r="62" spans="1:24" ht="14.25">
      <c r="A62" s="379"/>
      <c r="B62" s="380" t="s">
        <v>837</v>
      </c>
      <c r="L62" s="379"/>
      <c r="M62" s="398"/>
      <c r="N62" s="398"/>
      <c r="O62" s="398"/>
      <c r="P62" s="398"/>
      <c r="Q62" s="398"/>
      <c r="R62" s="398"/>
      <c r="S62" s="398"/>
      <c r="T62" s="398"/>
      <c r="U62" s="398"/>
      <c r="V62" s="398"/>
      <c r="W62" s="398"/>
      <c r="X62" s="398"/>
    </row>
    <row r="63" spans="1:24" ht="14.25">
      <c r="A63" s="379"/>
      <c r="B63" s="380" t="s">
        <v>838</v>
      </c>
      <c r="L63" s="379"/>
      <c r="M63" s="398"/>
      <c r="N63" s="398"/>
      <c r="O63" s="398"/>
      <c r="P63" s="398"/>
      <c r="Q63" s="398"/>
      <c r="R63" s="398"/>
      <c r="S63" s="398"/>
      <c r="T63" s="398"/>
      <c r="U63" s="398"/>
      <c r="V63" s="398"/>
      <c r="W63" s="398"/>
      <c r="X63" s="398"/>
    </row>
    <row r="64" spans="1:24" ht="14.25">
      <c r="A64" s="379"/>
      <c r="L64" s="379"/>
      <c r="M64" s="398"/>
      <c r="N64" s="398"/>
      <c r="O64" s="398"/>
      <c r="P64" s="398"/>
      <c r="Q64" s="398"/>
      <c r="R64" s="398"/>
      <c r="S64" s="398"/>
      <c r="T64" s="398"/>
      <c r="U64" s="398"/>
      <c r="V64" s="398"/>
      <c r="W64" s="398"/>
      <c r="X64" s="398"/>
    </row>
    <row r="65" spans="1:24" ht="14.25">
      <c r="A65" s="379"/>
      <c r="B65" s="380" t="s">
        <v>649</v>
      </c>
      <c r="L65" s="379"/>
      <c r="M65" s="398"/>
      <c r="N65" s="398"/>
      <c r="O65" s="398"/>
      <c r="P65" s="398"/>
      <c r="Q65" s="398"/>
      <c r="R65" s="398"/>
      <c r="S65" s="398"/>
      <c r="T65" s="398"/>
      <c r="U65" s="398"/>
      <c r="V65" s="398"/>
      <c r="W65" s="398"/>
      <c r="X65" s="398"/>
    </row>
    <row r="66" spans="1:24" ht="14.25">
      <c r="A66" s="379"/>
      <c r="B66" s="380" t="s">
        <v>650</v>
      </c>
      <c r="L66" s="379"/>
      <c r="M66" s="398"/>
      <c r="N66" s="398"/>
      <c r="O66" s="398"/>
      <c r="P66" s="398"/>
      <c r="Q66" s="398"/>
      <c r="R66" s="398"/>
      <c r="S66" s="398"/>
      <c r="T66" s="398"/>
      <c r="U66" s="398"/>
      <c r="V66" s="398"/>
      <c r="W66" s="398"/>
      <c r="X66" s="398"/>
    </row>
    <row r="67" spans="1:24" ht="14.25">
      <c r="A67" s="379"/>
      <c r="L67" s="379"/>
      <c r="M67" s="398"/>
      <c r="N67" s="398"/>
      <c r="O67" s="398"/>
      <c r="P67" s="398"/>
      <c r="Q67" s="398"/>
      <c r="R67" s="398"/>
      <c r="S67" s="398"/>
      <c r="T67" s="398"/>
      <c r="U67" s="398"/>
      <c r="V67" s="398"/>
      <c r="W67" s="398"/>
      <c r="X67" s="398"/>
    </row>
    <row r="68" spans="1:24" ht="14.25">
      <c r="A68" s="379"/>
      <c r="B68" s="380" t="s">
        <v>651</v>
      </c>
      <c r="L68" s="379"/>
      <c r="M68" s="399"/>
      <c r="N68" s="400"/>
      <c r="O68" s="400"/>
      <c r="P68" s="400"/>
      <c r="Q68" s="400"/>
      <c r="R68" s="400"/>
      <c r="S68" s="400"/>
      <c r="T68" s="400"/>
      <c r="U68" s="400"/>
      <c r="V68" s="400"/>
      <c r="W68" s="400"/>
      <c r="X68" s="398"/>
    </row>
    <row r="69" spans="1:24" ht="14.25">
      <c r="A69" s="379"/>
      <c r="B69" s="380" t="s">
        <v>839</v>
      </c>
      <c r="L69" s="379"/>
      <c r="M69" s="398"/>
      <c r="N69" s="398"/>
      <c r="O69" s="398"/>
      <c r="P69" s="398"/>
      <c r="Q69" s="398"/>
      <c r="R69" s="398"/>
      <c r="S69" s="398"/>
      <c r="T69" s="398"/>
      <c r="U69" s="398"/>
      <c r="V69" s="398"/>
      <c r="W69" s="398"/>
      <c r="X69" s="398"/>
    </row>
    <row r="70" spans="1:24" ht="14.25">
      <c r="A70" s="379"/>
      <c r="B70" s="380" t="s">
        <v>840</v>
      </c>
      <c r="L70" s="379"/>
      <c r="M70" s="398"/>
      <c r="N70" s="398"/>
      <c r="O70" s="398"/>
      <c r="P70" s="398"/>
      <c r="Q70" s="398"/>
      <c r="R70" s="398"/>
      <c r="S70" s="398"/>
      <c r="T70" s="398"/>
      <c r="U70" s="398"/>
      <c r="V70" s="398"/>
      <c r="W70" s="398"/>
      <c r="X70" s="398"/>
    </row>
    <row r="71" spans="1:12" ht="15" thickBot="1">
      <c r="A71" s="379"/>
      <c r="B71" s="388"/>
      <c r="C71" s="388"/>
      <c r="D71" s="388"/>
      <c r="E71" s="388"/>
      <c r="F71" s="388"/>
      <c r="G71" s="388"/>
      <c r="H71" s="388"/>
      <c r="I71" s="388"/>
      <c r="J71" s="388"/>
      <c r="K71" s="388"/>
      <c r="L71" s="379"/>
    </row>
    <row r="72" spans="1:12" ht="14.25">
      <c r="A72" s="379"/>
      <c r="B72" s="384" t="s">
        <v>625</v>
      </c>
      <c r="C72" s="385"/>
      <c r="D72" s="385"/>
      <c r="E72" s="385"/>
      <c r="F72" s="385"/>
      <c r="G72" s="385"/>
      <c r="H72" s="385"/>
      <c r="I72" s="385"/>
      <c r="J72" s="385"/>
      <c r="K72" s="386"/>
      <c r="L72" s="401"/>
    </row>
    <row r="73" spans="1:12" ht="14.25">
      <c r="A73" s="379"/>
      <c r="B73" s="394"/>
      <c r="C73" s="388" t="s">
        <v>631</v>
      </c>
      <c r="D73" s="388"/>
      <c r="E73" s="388"/>
      <c r="F73" s="388"/>
      <c r="G73" s="388"/>
      <c r="H73" s="388"/>
      <c r="I73" s="388"/>
      <c r="J73" s="388"/>
      <c r="K73" s="389"/>
      <c r="L73" s="401"/>
    </row>
    <row r="74" spans="1:12" ht="14.25">
      <c r="A74" s="379"/>
      <c r="B74" s="394" t="s">
        <v>652</v>
      </c>
      <c r="C74" s="1074">
        <v>312000000</v>
      </c>
      <c r="D74" s="1074"/>
      <c r="E74" s="585" t="s">
        <v>630</v>
      </c>
      <c r="F74" s="585">
        <v>1000</v>
      </c>
      <c r="G74" s="585" t="s">
        <v>629</v>
      </c>
      <c r="H74" s="709">
        <f>C74/F74</f>
        <v>312000</v>
      </c>
      <c r="I74" s="388" t="s">
        <v>653</v>
      </c>
      <c r="J74" s="388"/>
      <c r="K74" s="389"/>
      <c r="L74" s="401"/>
    </row>
    <row r="75" spans="1:12" ht="14.25">
      <c r="A75" s="379"/>
      <c r="B75" s="394"/>
      <c r="C75" s="388"/>
      <c r="D75" s="388"/>
      <c r="E75" s="585"/>
      <c r="F75" s="388"/>
      <c r="G75" s="388"/>
      <c r="H75" s="388"/>
      <c r="I75" s="388"/>
      <c r="J75" s="388"/>
      <c r="K75" s="389"/>
      <c r="L75" s="401"/>
    </row>
    <row r="76" spans="1:12" ht="14.25">
      <c r="A76" s="379"/>
      <c r="B76" s="394"/>
      <c r="C76" s="388" t="s">
        <v>654</v>
      </c>
      <c r="D76" s="388"/>
      <c r="E76" s="585"/>
      <c r="F76" s="388" t="s">
        <v>653</v>
      </c>
      <c r="G76" s="388"/>
      <c r="H76" s="388"/>
      <c r="I76" s="388"/>
      <c r="J76" s="388"/>
      <c r="K76" s="389"/>
      <c r="L76" s="401"/>
    </row>
    <row r="77" spans="1:12" ht="14.25">
      <c r="A77" s="379"/>
      <c r="B77" s="394" t="s">
        <v>657</v>
      </c>
      <c r="C77" s="1074">
        <v>50000</v>
      </c>
      <c r="D77" s="1074"/>
      <c r="E77" s="585" t="s">
        <v>630</v>
      </c>
      <c r="F77" s="709">
        <f>H74</f>
        <v>312000</v>
      </c>
      <c r="G77" s="585" t="s">
        <v>629</v>
      </c>
      <c r="H77" s="396">
        <f>C77/F77</f>
        <v>0.16025641025641027</v>
      </c>
      <c r="I77" s="388" t="s">
        <v>655</v>
      </c>
      <c r="J77" s="388"/>
      <c r="K77" s="389"/>
      <c r="L77" s="401"/>
    </row>
    <row r="78" spans="1:12" ht="14.25">
      <c r="A78" s="379"/>
      <c r="B78" s="394"/>
      <c r="C78" s="388"/>
      <c r="D78" s="388"/>
      <c r="E78" s="585"/>
      <c r="F78" s="388"/>
      <c r="G78" s="388"/>
      <c r="H78" s="388"/>
      <c r="I78" s="388"/>
      <c r="J78" s="388"/>
      <c r="K78" s="389"/>
      <c r="L78" s="401"/>
    </row>
    <row r="79" spans="1:12" ht="14.25">
      <c r="A79" s="379"/>
      <c r="B79" s="402"/>
      <c r="C79" s="403" t="s">
        <v>656</v>
      </c>
      <c r="D79" s="403"/>
      <c r="E79" s="587"/>
      <c r="F79" s="403"/>
      <c r="G79" s="403"/>
      <c r="H79" s="403"/>
      <c r="I79" s="403"/>
      <c r="J79" s="403"/>
      <c r="K79" s="404"/>
      <c r="L79" s="401"/>
    </row>
    <row r="80" spans="1:12" ht="14.25">
      <c r="A80" s="379"/>
      <c r="B80" s="394" t="s">
        <v>737</v>
      </c>
      <c r="C80" s="1074">
        <v>100000</v>
      </c>
      <c r="D80" s="1074"/>
      <c r="E80" s="585" t="s">
        <v>13</v>
      </c>
      <c r="F80" s="585">
        <v>0.115</v>
      </c>
      <c r="G80" s="585" t="s">
        <v>629</v>
      </c>
      <c r="H80" s="583">
        <f>C80*F80</f>
        <v>11500</v>
      </c>
      <c r="I80" s="388" t="s">
        <v>658</v>
      </c>
      <c r="J80" s="388"/>
      <c r="K80" s="389"/>
      <c r="L80" s="401"/>
    </row>
    <row r="81" spans="1:12" ht="14.25">
      <c r="A81" s="379"/>
      <c r="B81" s="394"/>
      <c r="C81" s="388"/>
      <c r="D81" s="388"/>
      <c r="E81" s="585"/>
      <c r="F81" s="388"/>
      <c r="G81" s="388"/>
      <c r="H81" s="388"/>
      <c r="I81" s="388"/>
      <c r="J81" s="388"/>
      <c r="K81" s="389"/>
      <c r="L81" s="401"/>
    </row>
    <row r="82" spans="1:12" ht="14.25">
      <c r="A82" s="379"/>
      <c r="B82" s="402"/>
      <c r="C82" s="403" t="s">
        <v>659</v>
      </c>
      <c r="D82" s="403"/>
      <c r="E82" s="587"/>
      <c r="F82" s="403" t="s">
        <v>655</v>
      </c>
      <c r="G82" s="403"/>
      <c r="H82" s="403"/>
      <c r="I82" s="403"/>
      <c r="J82" s="403" t="s">
        <v>660</v>
      </c>
      <c r="K82" s="404"/>
      <c r="L82" s="401"/>
    </row>
    <row r="83" spans="1:12" ht="14.25">
      <c r="A83" s="379"/>
      <c r="B83" s="394" t="s">
        <v>738</v>
      </c>
      <c r="C83" s="1072">
        <f>H80</f>
        <v>11500</v>
      </c>
      <c r="D83" s="1072"/>
      <c r="E83" s="585" t="s">
        <v>13</v>
      </c>
      <c r="F83" s="396">
        <f>H77</f>
        <v>0.16025641025641027</v>
      </c>
      <c r="G83" s="585" t="s">
        <v>630</v>
      </c>
      <c r="H83" s="585">
        <v>1000</v>
      </c>
      <c r="I83" s="585" t="s">
        <v>629</v>
      </c>
      <c r="J83" s="584">
        <f>C83*F83/H83</f>
        <v>1.842948717948718</v>
      </c>
      <c r="K83" s="389"/>
      <c r="L83" s="401"/>
    </row>
    <row r="84" spans="1:12" ht="15" thickBot="1">
      <c r="A84" s="379"/>
      <c r="B84" s="390"/>
      <c r="C84" s="405"/>
      <c r="D84" s="405"/>
      <c r="E84" s="406"/>
      <c r="F84" s="407"/>
      <c r="G84" s="406"/>
      <c r="H84" s="406"/>
      <c r="I84" s="406"/>
      <c r="J84" s="408"/>
      <c r="K84" s="392"/>
      <c r="L84" s="401"/>
    </row>
    <row r="85" spans="1:12" ht="40.5" customHeight="1">
      <c r="A85" s="379"/>
      <c r="B85" s="1076" t="s">
        <v>621</v>
      </c>
      <c r="C85" s="1076"/>
      <c r="D85" s="1076"/>
      <c r="E85" s="1076"/>
      <c r="F85" s="1076"/>
      <c r="G85" s="1076"/>
      <c r="H85" s="1076"/>
      <c r="I85" s="1076"/>
      <c r="J85" s="1076"/>
      <c r="K85" s="1076"/>
      <c r="L85" s="379"/>
    </row>
    <row r="86" spans="1:12" ht="14.25">
      <c r="A86" s="379"/>
      <c r="B86" s="1077" t="s">
        <v>661</v>
      </c>
      <c r="C86" s="1077"/>
      <c r="D86" s="1077"/>
      <c r="E86" s="1077"/>
      <c r="F86" s="1077"/>
      <c r="G86" s="1077"/>
      <c r="H86" s="1077"/>
      <c r="I86" s="1077"/>
      <c r="J86" s="1077"/>
      <c r="K86" s="1077"/>
      <c r="L86" s="379"/>
    </row>
    <row r="87" spans="1:12" ht="14.25">
      <c r="A87" s="379"/>
      <c r="B87" s="409"/>
      <c r="C87" s="409"/>
      <c r="D87" s="409"/>
      <c r="E87" s="409"/>
      <c r="F87" s="409"/>
      <c r="G87" s="409"/>
      <c r="H87" s="409"/>
      <c r="I87" s="409"/>
      <c r="J87" s="409"/>
      <c r="K87" s="409"/>
      <c r="L87" s="379"/>
    </row>
    <row r="88" spans="1:12" ht="14.25">
      <c r="A88" s="379"/>
      <c r="B88" s="1077" t="s">
        <v>662</v>
      </c>
      <c r="C88" s="1077"/>
      <c r="D88" s="1077"/>
      <c r="E88" s="1077"/>
      <c r="F88" s="1077"/>
      <c r="G88" s="1077"/>
      <c r="H88" s="1077"/>
      <c r="I88" s="1077"/>
      <c r="J88" s="1077"/>
      <c r="K88" s="1077"/>
      <c r="L88" s="379"/>
    </row>
    <row r="89" spans="1:12" ht="14.25">
      <c r="A89" s="379"/>
      <c r="B89" s="588"/>
      <c r="C89" s="588"/>
      <c r="D89" s="588"/>
      <c r="E89" s="588"/>
      <c r="F89" s="588"/>
      <c r="G89" s="588"/>
      <c r="H89" s="588"/>
      <c r="I89" s="588"/>
      <c r="J89" s="588"/>
      <c r="K89" s="588"/>
      <c r="L89" s="379"/>
    </row>
    <row r="90" spans="1:12" ht="45" customHeight="1">
      <c r="A90" s="379"/>
      <c r="B90" s="1078" t="s">
        <v>663</v>
      </c>
      <c r="C90" s="1078"/>
      <c r="D90" s="1078"/>
      <c r="E90" s="1078"/>
      <c r="F90" s="1078"/>
      <c r="G90" s="1078"/>
      <c r="H90" s="1078"/>
      <c r="I90" s="1078"/>
      <c r="J90" s="1078"/>
      <c r="K90" s="1078"/>
      <c r="L90" s="379"/>
    </row>
    <row r="91" spans="1:12" ht="15" customHeight="1" thickBot="1">
      <c r="A91" s="379"/>
      <c r="L91" s="379"/>
    </row>
    <row r="92" spans="1:12" ht="15" customHeight="1">
      <c r="A92" s="379"/>
      <c r="B92" s="410" t="s">
        <v>625</v>
      </c>
      <c r="C92" s="411"/>
      <c r="D92" s="411"/>
      <c r="E92" s="411"/>
      <c r="F92" s="411"/>
      <c r="G92" s="411"/>
      <c r="H92" s="411"/>
      <c r="I92" s="411"/>
      <c r="J92" s="411"/>
      <c r="K92" s="412"/>
      <c r="L92" s="379"/>
    </row>
    <row r="93" spans="1:12" ht="15" customHeight="1">
      <c r="A93" s="379"/>
      <c r="B93" s="413"/>
      <c r="C93" s="589" t="s">
        <v>631</v>
      </c>
      <c r="D93" s="589"/>
      <c r="E93" s="589"/>
      <c r="F93" s="589"/>
      <c r="G93" s="589"/>
      <c r="H93" s="589"/>
      <c r="I93" s="589"/>
      <c r="J93" s="589"/>
      <c r="K93" s="414"/>
      <c r="L93" s="379"/>
    </row>
    <row r="94" spans="1:12" ht="15" customHeight="1">
      <c r="A94" s="379"/>
      <c r="B94" s="413" t="s">
        <v>652</v>
      </c>
      <c r="C94" s="1074">
        <v>312000000</v>
      </c>
      <c r="D94" s="1074"/>
      <c r="E94" s="585" t="s">
        <v>630</v>
      </c>
      <c r="F94" s="585">
        <v>1000</v>
      </c>
      <c r="G94" s="585" t="s">
        <v>629</v>
      </c>
      <c r="H94" s="709">
        <f>C94/F94</f>
        <v>312000</v>
      </c>
      <c r="I94" s="589" t="s">
        <v>653</v>
      </c>
      <c r="J94" s="589"/>
      <c r="K94" s="414"/>
      <c r="L94" s="379"/>
    </row>
    <row r="95" spans="1:12" ht="15" customHeight="1">
      <c r="A95" s="379"/>
      <c r="B95" s="413"/>
      <c r="C95" s="589"/>
      <c r="D95" s="589"/>
      <c r="E95" s="585"/>
      <c r="F95" s="589"/>
      <c r="G95" s="589"/>
      <c r="H95" s="589"/>
      <c r="I95" s="589"/>
      <c r="J95" s="589"/>
      <c r="K95" s="414"/>
      <c r="L95" s="379"/>
    </row>
    <row r="96" spans="1:12" ht="15" customHeight="1">
      <c r="A96" s="379"/>
      <c r="B96" s="413"/>
      <c r="C96" s="589" t="s">
        <v>654</v>
      </c>
      <c r="D96" s="589"/>
      <c r="E96" s="585"/>
      <c r="F96" s="589" t="s">
        <v>653</v>
      </c>
      <c r="G96" s="589"/>
      <c r="H96" s="589"/>
      <c r="I96" s="589"/>
      <c r="J96" s="589"/>
      <c r="K96" s="414"/>
      <c r="L96" s="379"/>
    </row>
    <row r="97" spans="1:12" ht="15" customHeight="1">
      <c r="A97" s="379"/>
      <c r="B97" s="413" t="s">
        <v>657</v>
      </c>
      <c r="C97" s="1074">
        <v>50000</v>
      </c>
      <c r="D97" s="1074"/>
      <c r="E97" s="585" t="s">
        <v>630</v>
      </c>
      <c r="F97" s="709">
        <f>H94</f>
        <v>312000</v>
      </c>
      <c r="G97" s="585" t="s">
        <v>629</v>
      </c>
      <c r="H97" s="396">
        <f>C97/F97</f>
        <v>0.16025641025641027</v>
      </c>
      <c r="I97" s="589" t="s">
        <v>655</v>
      </c>
      <c r="J97" s="589"/>
      <c r="K97" s="414"/>
      <c r="L97" s="379"/>
    </row>
    <row r="98" spans="1:12" ht="15" customHeight="1">
      <c r="A98" s="379"/>
      <c r="B98" s="413"/>
      <c r="C98" s="589"/>
      <c r="D98" s="589"/>
      <c r="E98" s="585"/>
      <c r="F98" s="589"/>
      <c r="G98" s="589"/>
      <c r="H98" s="589"/>
      <c r="I98" s="589"/>
      <c r="J98" s="589"/>
      <c r="K98" s="414"/>
      <c r="L98" s="379"/>
    </row>
    <row r="99" spans="1:12" ht="15" customHeight="1">
      <c r="A99" s="379"/>
      <c r="B99" s="415"/>
      <c r="C99" s="416" t="s">
        <v>664</v>
      </c>
      <c r="D99" s="416"/>
      <c r="E99" s="587"/>
      <c r="F99" s="416"/>
      <c r="G99" s="416"/>
      <c r="H99" s="416"/>
      <c r="I99" s="416"/>
      <c r="J99" s="416"/>
      <c r="K99" s="417"/>
      <c r="L99" s="379"/>
    </row>
    <row r="100" spans="1:12" ht="15" customHeight="1">
      <c r="A100" s="379"/>
      <c r="B100" s="413" t="s">
        <v>737</v>
      </c>
      <c r="C100" s="1074">
        <v>2500000</v>
      </c>
      <c r="D100" s="1074"/>
      <c r="E100" s="585" t="s">
        <v>13</v>
      </c>
      <c r="F100" s="418">
        <v>0.3</v>
      </c>
      <c r="G100" s="585" t="s">
        <v>629</v>
      </c>
      <c r="H100" s="583">
        <f>C100*F100</f>
        <v>750000</v>
      </c>
      <c r="I100" s="589" t="s">
        <v>658</v>
      </c>
      <c r="J100" s="589"/>
      <c r="K100" s="414"/>
      <c r="L100" s="379"/>
    </row>
    <row r="101" spans="1:12" ht="15" customHeight="1">
      <c r="A101" s="379"/>
      <c r="B101" s="413"/>
      <c r="C101" s="589"/>
      <c r="D101" s="589"/>
      <c r="E101" s="585"/>
      <c r="F101" s="589"/>
      <c r="G101" s="589"/>
      <c r="H101" s="589"/>
      <c r="I101" s="589"/>
      <c r="J101" s="589"/>
      <c r="K101" s="414"/>
      <c r="L101" s="379"/>
    </row>
    <row r="102" spans="1:12" ht="15" customHeight="1">
      <c r="A102" s="379"/>
      <c r="B102" s="415"/>
      <c r="C102" s="416" t="s">
        <v>659</v>
      </c>
      <c r="D102" s="416"/>
      <c r="E102" s="587"/>
      <c r="F102" s="416" t="s">
        <v>655</v>
      </c>
      <c r="G102" s="416"/>
      <c r="H102" s="416"/>
      <c r="I102" s="416"/>
      <c r="J102" s="416" t="s">
        <v>660</v>
      </c>
      <c r="K102" s="417"/>
      <c r="L102" s="379"/>
    </row>
    <row r="103" spans="1:12" ht="15" customHeight="1">
      <c r="A103" s="379"/>
      <c r="B103" s="413" t="s">
        <v>738</v>
      </c>
      <c r="C103" s="1072">
        <f>H100</f>
        <v>750000</v>
      </c>
      <c r="D103" s="1072"/>
      <c r="E103" s="585" t="s">
        <v>13</v>
      </c>
      <c r="F103" s="396">
        <f>H97</f>
        <v>0.16025641025641027</v>
      </c>
      <c r="G103" s="585" t="s">
        <v>630</v>
      </c>
      <c r="H103" s="585">
        <v>1000</v>
      </c>
      <c r="I103" s="585" t="s">
        <v>629</v>
      </c>
      <c r="J103" s="584">
        <f>C103*F103/H103</f>
        <v>120.19230769230771</v>
      </c>
      <c r="K103" s="414"/>
      <c r="L103" s="379"/>
    </row>
    <row r="104" spans="1:12" ht="15" customHeight="1" thickBot="1">
      <c r="A104" s="379"/>
      <c r="B104" s="419"/>
      <c r="C104" s="405"/>
      <c r="D104" s="405"/>
      <c r="E104" s="406"/>
      <c r="F104" s="407"/>
      <c r="G104" s="406"/>
      <c r="H104" s="406"/>
      <c r="I104" s="406"/>
      <c r="J104" s="408"/>
      <c r="K104" s="590"/>
      <c r="L104" s="379"/>
    </row>
    <row r="105" spans="1:12" ht="40.5" customHeight="1">
      <c r="A105" s="379"/>
      <c r="B105" s="1076" t="s">
        <v>621</v>
      </c>
      <c r="C105" s="1079"/>
      <c r="D105" s="1079"/>
      <c r="E105" s="1079"/>
      <c r="F105" s="1079"/>
      <c r="G105" s="1079"/>
      <c r="H105" s="1079"/>
      <c r="I105" s="1079"/>
      <c r="J105" s="1079"/>
      <c r="K105" s="1079"/>
      <c r="L105" s="379"/>
    </row>
    <row r="106" spans="1:12" ht="15" customHeight="1">
      <c r="A106" s="379"/>
      <c r="B106" s="1089" t="s">
        <v>665</v>
      </c>
      <c r="C106" s="1090"/>
      <c r="D106" s="1090"/>
      <c r="E106" s="1090"/>
      <c r="F106" s="1090"/>
      <c r="G106" s="1090"/>
      <c r="H106" s="1090"/>
      <c r="I106" s="1090"/>
      <c r="J106" s="1090"/>
      <c r="K106" s="1090"/>
      <c r="L106" s="379"/>
    </row>
    <row r="107" spans="1:12" ht="15" customHeight="1">
      <c r="A107" s="379"/>
      <c r="B107" s="589"/>
      <c r="C107" s="420"/>
      <c r="D107" s="420"/>
      <c r="E107" s="585"/>
      <c r="F107" s="396"/>
      <c r="G107" s="585"/>
      <c r="H107" s="585"/>
      <c r="I107" s="585"/>
      <c r="J107" s="584"/>
      <c r="K107" s="589"/>
      <c r="L107" s="379"/>
    </row>
    <row r="108" spans="1:12" ht="15" customHeight="1">
      <c r="A108" s="379"/>
      <c r="B108" s="1089" t="s">
        <v>666</v>
      </c>
      <c r="C108" s="1091"/>
      <c r="D108" s="1091"/>
      <c r="E108" s="1091"/>
      <c r="F108" s="1091"/>
      <c r="G108" s="1091"/>
      <c r="H108" s="1091"/>
      <c r="I108" s="1091"/>
      <c r="J108" s="1091"/>
      <c r="K108" s="1091"/>
      <c r="L108" s="379"/>
    </row>
    <row r="109" spans="1:12" ht="15" customHeight="1">
      <c r="A109" s="379"/>
      <c r="B109" s="589"/>
      <c r="C109" s="420"/>
      <c r="D109" s="420"/>
      <c r="E109" s="585"/>
      <c r="F109" s="396"/>
      <c r="G109" s="585"/>
      <c r="H109" s="585"/>
      <c r="I109" s="585"/>
      <c r="J109" s="584"/>
      <c r="K109" s="589"/>
      <c r="L109" s="379"/>
    </row>
    <row r="110" spans="1:12" ht="59.25" customHeight="1">
      <c r="A110" s="379"/>
      <c r="B110" s="1088" t="s">
        <v>667</v>
      </c>
      <c r="C110" s="1086"/>
      <c r="D110" s="1086"/>
      <c r="E110" s="1086"/>
      <c r="F110" s="1086"/>
      <c r="G110" s="1086"/>
      <c r="H110" s="1086"/>
      <c r="I110" s="1086"/>
      <c r="J110" s="1086"/>
      <c r="K110" s="1086"/>
      <c r="L110" s="379"/>
    </row>
    <row r="111" spans="1:12" ht="15" thickBot="1">
      <c r="A111" s="379"/>
      <c r="B111" s="591"/>
      <c r="C111" s="591"/>
      <c r="D111" s="591"/>
      <c r="E111" s="591"/>
      <c r="F111" s="591"/>
      <c r="G111" s="591"/>
      <c r="H111" s="591"/>
      <c r="I111" s="591"/>
      <c r="J111" s="591"/>
      <c r="K111" s="591"/>
      <c r="L111" s="421"/>
    </row>
    <row r="112" spans="1:12" ht="14.25">
      <c r="A112" s="379"/>
      <c r="B112" s="384" t="s">
        <v>625</v>
      </c>
      <c r="C112" s="385"/>
      <c r="D112" s="385"/>
      <c r="E112" s="385"/>
      <c r="F112" s="385"/>
      <c r="G112" s="385"/>
      <c r="H112" s="385"/>
      <c r="I112" s="385"/>
      <c r="J112" s="385"/>
      <c r="K112" s="386"/>
      <c r="L112" s="379"/>
    </row>
    <row r="113" spans="1:12" ht="14.25">
      <c r="A113" s="379"/>
      <c r="B113" s="394"/>
      <c r="C113" s="388" t="s">
        <v>631</v>
      </c>
      <c r="D113" s="388"/>
      <c r="E113" s="388"/>
      <c r="F113" s="388"/>
      <c r="G113" s="388"/>
      <c r="H113" s="388"/>
      <c r="I113" s="388"/>
      <c r="J113" s="388"/>
      <c r="K113" s="389"/>
      <c r="L113" s="379"/>
    </row>
    <row r="114" spans="1:12" ht="14.25">
      <c r="A114" s="379"/>
      <c r="B114" s="394" t="s">
        <v>652</v>
      </c>
      <c r="C114" s="1074">
        <v>312000000</v>
      </c>
      <c r="D114" s="1074"/>
      <c r="E114" s="585" t="s">
        <v>630</v>
      </c>
      <c r="F114" s="585">
        <v>1000</v>
      </c>
      <c r="G114" s="585" t="s">
        <v>629</v>
      </c>
      <c r="H114" s="709">
        <f>C114/F114</f>
        <v>312000</v>
      </c>
      <c r="I114" s="388" t="s">
        <v>653</v>
      </c>
      <c r="J114" s="388"/>
      <c r="K114" s="389"/>
      <c r="L114" s="379"/>
    </row>
    <row r="115" spans="1:12" ht="14.25">
      <c r="A115" s="379"/>
      <c r="B115" s="394"/>
      <c r="C115" s="388"/>
      <c r="D115" s="388"/>
      <c r="E115" s="585"/>
      <c r="F115" s="388"/>
      <c r="G115" s="388"/>
      <c r="H115" s="388"/>
      <c r="I115" s="388"/>
      <c r="J115" s="388"/>
      <c r="K115" s="389"/>
      <c r="L115" s="379"/>
    </row>
    <row r="116" spans="1:12" ht="14.25">
      <c r="A116" s="379"/>
      <c r="B116" s="394"/>
      <c r="C116" s="388" t="s">
        <v>654</v>
      </c>
      <c r="D116" s="388"/>
      <c r="E116" s="585"/>
      <c r="F116" s="388" t="s">
        <v>653</v>
      </c>
      <c r="G116" s="388"/>
      <c r="H116" s="388"/>
      <c r="I116" s="388"/>
      <c r="J116" s="388"/>
      <c r="K116" s="389"/>
      <c r="L116" s="379"/>
    </row>
    <row r="117" spans="1:12" ht="14.25">
      <c r="A117" s="379"/>
      <c r="B117" s="394" t="s">
        <v>657</v>
      </c>
      <c r="C117" s="1074">
        <v>50000</v>
      </c>
      <c r="D117" s="1074"/>
      <c r="E117" s="585" t="s">
        <v>630</v>
      </c>
      <c r="F117" s="709">
        <f>H114</f>
        <v>312000</v>
      </c>
      <c r="G117" s="585" t="s">
        <v>629</v>
      </c>
      <c r="H117" s="396">
        <f>C117/F117</f>
        <v>0.16025641025641027</v>
      </c>
      <c r="I117" s="388" t="s">
        <v>655</v>
      </c>
      <c r="J117" s="388"/>
      <c r="K117" s="389"/>
      <c r="L117" s="379"/>
    </row>
    <row r="118" spans="1:12" ht="14.25">
      <c r="A118" s="379"/>
      <c r="B118" s="394"/>
      <c r="C118" s="388"/>
      <c r="D118" s="388"/>
      <c r="E118" s="585"/>
      <c r="F118" s="388"/>
      <c r="G118" s="388"/>
      <c r="H118" s="388"/>
      <c r="I118" s="388"/>
      <c r="J118" s="388"/>
      <c r="K118" s="389"/>
      <c r="L118" s="379"/>
    </row>
    <row r="119" spans="1:12" ht="14.25">
      <c r="A119" s="379"/>
      <c r="B119" s="402"/>
      <c r="C119" s="403" t="s">
        <v>664</v>
      </c>
      <c r="D119" s="403"/>
      <c r="E119" s="587"/>
      <c r="F119" s="403"/>
      <c r="G119" s="403"/>
      <c r="H119" s="403"/>
      <c r="I119" s="403"/>
      <c r="J119" s="403"/>
      <c r="K119" s="404"/>
      <c r="L119" s="379"/>
    </row>
    <row r="120" spans="1:12" ht="14.25">
      <c r="A120" s="379"/>
      <c r="B120" s="394" t="s">
        <v>737</v>
      </c>
      <c r="C120" s="1074">
        <v>2500000</v>
      </c>
      <c r="D120" s="1074"/>
      <c r="E120" s="585" t="s">
        <v>13</v>
      </c>
      <c r="F120" s="418">
        <v>0.25</v>
      </c>
      <c r="G120" s="585" t="s">
        <v>629</v>
      </c>
      <c r="H120" s="583">
        <f>C120*F120</f>
        <v>625000</v>
      </c>
      <c r="I120" s="388" t="s">
        <v>658</v>
      </c>
      <c r="J120" s="388"/>
      <c r="K120" s="389"/>
      <c r="L120" s="379"/>
    </row>
    <row r="121" spans="1:12" ht="14.25">
      <c r="A121" s="379"/>
      <c r="B121" s="394"/>
      <c r="C121" s="388"/>
      <c r="D121" s="388"/>
      <c r="E121" s="585"/>
      <c r="F121" s="388"/>
      <c r="G121" s="388"/>
      <c r="H121" s="388"/>
      <c r="I121" s="388"/>
      <c r="J121" s="388"/>
      <c r="K121" s="389"/>
      <c r="L121" s="379"/>
    </row>
    <row r="122" spans="1:12" ht="14.25">
      <c r="A122" s="379"/>
      <c r="B122" s="402"/>
      <c r="C122" s="403" t="s">
        <v>659</v>
      </c>
      <c r="D122" s="403"/>
      <c r="E122" s="587"/>
      <c r="F122" s="403" t="s">
        <v>655</v>
      </c>
      <c r="G122" s="403"/>
      <c r="H122" s="403"/>
      <c r="I122" s="403"/>
      <c r="J122" s="403" t="s">
        <v>660</v>
      </c>
      <c r="K122" s="404"/>
      <c r="L122" s="379"/>
    </row>
    <row r="123" spans="1:12" ht="14.25">
      <c r="A123" s="379"/>
      <c r="B123" s="394" t="s">
        <v>738</v>
      </c>
      <c r="C123" s="1072">
        <f>H120</f>
        <v>625000</v>
      </c>
      <c r="D123" s="1072"/>
      <c r="E123" s="585" t="s">
        <v>13</v>
      </c>
      <c r="F123" s="396">
        <f>H117</f>
        <v>0.16025641025641027</v>
      </c>
      <c r="G123" s="585" t="s">
        <v>630</v>
      </c>
      <c r="H123" s="585">
        <v>1000</v>
      </c>
      <c r="I123" s="585" t="s">
        <v>629</v>
      </c>
      <c r="J123" s="584">
        <f>C123*F123/H123</f>
        <v>100.16025641025642</v>
      </c>
      <c r="K123" s="389"/>
      <c r="L123" s="379"/>
    </row>
    <row r="124" spans="1:12" ht="15" thickBot="1">
      <c r="A124" s="379"/>
      <c r="B124" s="390"/>
      <c r="C124" s="405"/>
      <c r="D124" s="405"/>
      <c r="E124" s="406"/>
      <c r="F124" s="407"/>
      <c r="G124" s="406"/>
      <c r="H124" s="406"/>
      <c r="I124" s="406"/>
      <c r="J124" s="408"/>
      <c r="K124" s="392"/>
      <c r="L124" s="379"/>
    </row>
    <row r="125" spans="1:12" ht="40.5" customHeight="1">
      <c r="A125" s="379"/>
      <c r="B125" s="1076" t="s">
        <v>621</v>
      </c>
      <c r="C125" s="1076"/>
      <c r="D125" s="1076"/>
      <c r="E125" s="1076"/>
      <c r="F125" s="1076"/>
      <c r="G125" s="1076"/>
      <c r="H125" s="1076"/>
      <c r="I125" s="1076"/>
      <c r="J125" s="1076"/>
      <c r="K125" s="1076"/>
      <c r="L125" s="421"/>
    </row>
    <row r="126" spans="1:12" ht="14.25">
      <c r="A126" s="379"/>
      <c r="B126" s="1077" t="s">
        <v>668</v>
      </c>
      <c r="C126" s="1077"/>
      <c r="D126" s="1077"/>
      <c r="E126" s="1077"/>
      <c r="F126" s="1077"/>
      <c r="G126" s="1077"/>
      <c r="H126" s="1077"/>
      <c r="I126" s="1077"/>
      <c r="J126" s="1077"/>
      <c r="K126" s="1077"/>
      <c r="L126" s="421"/>
    </row>
    <row r="127" spans="1:12" ht="14.25">
      <c r="A127" s="379"/>
      <c r="B127" s="591"/>
      <c r="C127" s="591"/>
      <c r="D127" s="591"/>
      <c r="E127" s="591"/>
      <c r="F127" s="591"/>
      <c r="G127" s="591"/>
      <c r="H127" s="591"/>
      <c r="I127" s="591"/>
      <c r="J127" s="591"/>
      <c r="K127" s="591"/>
      <c r="L127" s="421"/>
    </row>
    <row r="128" spans="1:12" ht="14.25">
      <c r="A128" s="379"/>
      <c r="B128" s="1077" t="s">
        <v>669</v>
      </c>
      <c r="C128" s="1077"/>
      <c r="D128" s="1077"/>
      <c r="E128" s="1077"/>
      <c r="F128" s="1077"/>
      <c r="G128" s="1077"/>
      <c r="H128" s="1077"/>
      <c r="I128" s="1077"/>
      <c r="J128" s="1077"/>
      <c r="K128" s="1077"/>
      <c r="L128" s="421"/>
    </row>
    <row r="129" spans="1:12" ht="14.25">
      <c r="A129" s="379"/>
      <c r="B129" s="588"/>
      <c r="C129" s="588"/>
      <c r="D129" s="588"/>
      <c r="E129" s="588"/>
      <c r="F129" s="588"/>
      <c r="G129" s="588"/>
      <c r="H129" s="588"/>
      <c r="I129" s="588"/>
      <c r="J129" s="588"/>
      <c r="K129" s="588"/>
      <c r="L129" s="421"/>
    </row>
    <row r="130" spans="1:12" ht="74.25" customHeight="1">
      <c r="A130" s="379"/>
      <c r="B130" s="1078" t="s">
        <v>739</v>
      </c>
      <c r="C130" s="1078"/>
      <c r="D130" s="1078"/>
      <c r="E130" s="1078"/>
      <c r="F130" s="1078"/>
      <c r="G130" s="1078"/>
      <c r="H130" s="1078"/>
      <c r="I130" s="1078"/>
      <c r="J130" s="1078"/>
      <c r="K130" s="1078"/>
      <c r="L130" s="421"/>
    </row>
    <row r="131" spans="1:12" ht="15" thickBot="1">
      <c r="A131" s="379"/>
      <c r="L131" s="379"/>
    </row>
    <row r="132" spans="1:12" ht="14.25">
      <c r="A132" s="379"/>
      <c r="B132" s="384" t="s">
        <v>625</v>
      </c>
      <c r="C132" s="385"/>
      <c r="D132" s="385"/>
      <c r="E132" s="385"/>
      <c r="F132" s="385"/>
      <c r="G132" s="385"/>
      <c r="H132" s="385"/>
      <c r="I132" s="385"/>
      <c r="J132" s="385"/>
      <c r="K132" s="386"/>
      <c r="L132" s="379"/>
    </row>
    <row r="133" spans="1:12" ht="14.25">
      <c r="A133" s="379"/>
      <c r="B133" s="394"/>
      <c r="C133" s="1073" t="s">
        <v>670</v>
      </c>
      <c r="D133" s="1073"/>
      <c r="E133" s="388"/>
      <c r="F133" s="585" t="s">
        <v>671</v>
      </c>
      <c r="G133" s="388"/>
      <c r="H133" s="1073" t="s">
        <v>658</v>
      </c>
      <c r="I133" s="1073"/>
      <c r="J133" s="388"/>
      <c r="K133" s="389"/>
      <c r="L133" s="379"/>
    </row>
    <row r="134" spans="1:12" ht="14.25">
      <c r="A134" s="379"/>
      <c r="B134" s="394" t="s">
        <v>652</v>
      </c>
      <c r="C134" s="1074">
        <v>100000</v>
      </c>
      <c r="D134" s="1074"/>
      <c r="E134" s="585" t="s">
        <v>13</v>
      </c>
      <c r="F134" s="585">
        <v>0.115</v>
      </c>
      <c r="G134" s="585" t="s">
        <v>629</v>
      </c>
      <c r="H134" s="1067">
        <f>C134*F134</f>
        <v>11500</v>
      </c>
      <c r="I134" s="1067"/>
      <c r="J134" s="388"/>
      <c r="K134" s="389"/>
      <c r="L134" s="379"/>
    </row>
    <row r="135" spans="1:12" ht="14.25">
      <c r="A135" s="379"/>
      <c r="B135" s="394"/>
      <c r="C135" s="388"/>
      <c r="D135" s="388"/>
      <c r="E135" s="388"/>
      <c r="F135" s="388"/>
      <c r="G135" s="388"/>
      <c r="H135" s="388"/>
      <c r="I135" s="388"/>
      <c r="J135" s="388"/>
      <c r="K135" s="389"/>
      <c r="L135" s="379"/>
    </row>
    <row r="136" spans="1:12" ht="14.25">
      <c r="A136" s="379"/>
      <c r="B136" s="402"/>
      <c r="C136" s="1075" t="s">
        <v>658</v>
      </c>
      <c r="D136" s="1075"/>
      <c r="E136" s="403"/>
      <c r="F136" s="587" t="s">
        <v>672</v>
      </c>
      <c r="G136" s="587"/>
      <c r="H136" s="403"/>
      <c r="I136" s="403"/>
      <c r="J136" s="403" t="s">
        <v>673</v>
      </c>
      <c r="K136" s="404"/>
      <c r="L136" s="379"/>
    </row>
    <row r="137" spans="1:12" ht="14.25">
      <c r="A137" s="379"/>
      <c r="B137" s="394" t="s">
        <v>657</v>
      </c>
      <c r="C137" s="1067">
        <f>H134</f>
        <v>11500</v>
      </c>
      <c r="D137" s="1067"/>
      <c r="E137" s="585" t="s">
        <v>13</v>
      </c>
      <c r="F137" s="422">
        <v>52.869</v>
      </c>
      <c r="G137" s="585" t="s">
        <v>630</v>
      </c>
      <c r="H137" s="585">
        <v>1000</v>
      </c>
      <c r="I137" s="585" t="s">
        <v>629</v>
      </c>
      <c r="J137" s="423">
        <f>C137*F137/H137</f>
        <v>607.9935</v>
      </c>
      <c r="K137" s="389"/>
      <c r="L137" s="379"/>
    </row>
    <row r="138" spans="1:12" ht="15" thickBot="1">
      <c r="A138" s="379"/>
      <c r="B138" s="390"/>
      <c r="C138" s="496"/>
      <c r="D138" s="496"/>
      <c r="E138" s="406"/>
      <c r="F138" s="497"/>
      <c r="G138" s="406"/>
      <c r="H138" s="406"/>
      <c r="I138" s="406"/>
      <c r="J138" s="498"/>
      <c r="K138" s="392"/>
      <c r="L138" s="379"/>
    </row>
    <row r="139" spans="1:12" ht="40.5" customHeight="1">
      <c r="A139" s="379"/>
      <c r="B139" s="483" t="s">
        <v>621</v>
      </c>
      <c r="C139" s="484"/>
      <c r="D139" s="484"/>
      <c r="E139" s="485"/>
      <c r="F139" s="486"/>
      <c r="G139" s="485"/>
      <c r="H139" s="485"/>
      <c r="I139" s="485"/>
      <c r="J139" s="487"/>
      <c r="K139" s="488"/>
      <c r="L139" s="379"/>
    </row>
    <row r="140" spans="1:12" ht="14.25">
      <c r="A140" s="379"/>
      <c r="B140" s="489" t="s">
        <v>740</v>
      </c>
      <c r="C140" s="490"/>
      <c r="D140" s="490"/>
      <c r="E140" s="491"/>
      <c r="F140" s="492"/>
      <c r="G140" s="491"/>
      <c r="H140" s="491"/>
      <c r="I140" s="491"/>
      <c r="J140" s="493"/>
      <c r="K140" s="494"/>
      <c r="L140" s="379"/>
    </row>
    <row r="141" spans="1:12" ht="14.25">
      <c r="A141" s="379"/>
      <c r="B141" s="394"/>
      <c r="C141" s="583"/>
      <c r="D141" s="583"/>
      <c r="E141" s="585"/>
      <c r="F141" s="499"/>
      <c r="G141" s="585"/>
      <c r="H141" s="585"/>
      <c r="I141" s="585"/>
      <c r="J141" s="423"/>
      <c r="K141" s="389"/>
      <c r="L141" s="379"/>
    </row>
    <row r="142" spans="1:12" ht="14.25">
      <c r="A142" s="379"/>
      <c r="B142" s="489" t="s">
        <v>741</v>
      </c>
      <c r="C142" s="490"/>
      <c r="D142" s="490"/>
      <c r="E142" s="491"/>
      <c r="F142" s="492"/>
      <c r="G142" s="491"/>
      <c r="H142" s="491"/>
      <c r="I142" s="491"/>
      <c r="J142" s="493"/>
      <c r="K142" s="494"/>
      <c r="L142" s="379"/>
    </row>
    <row r="143" spans="1:12" ht="14.25">
      <c r="A143" s="379"/>
      <c r="B143" s="394"/>
      <c r="C143" s="583"/>
      <c r="D143" s="583"/>
      <c r="E143" s="585"/>
      <c r="F143" s="499"/>
      <c r="G143" s="585"/>
      <c r="H143" s="585"/>
      <c r="I143" s="585"/>
      <c r="J143" s="423"/>
      <c r="K143" s="389"/>
      <c r="L143" s="379"/>
    </row>
    <row r="144" spans="1:12" ht="76.5" customHeight="1">
      <c r="A144" s="379"/>
      <c r="B144" s="1064" t="s">
        <v>742</v>
      </c>
      <c r="C144" s="1065"/>
      <c r="D144" s="1065"/>
      <c r="E144" s="1065"/>
      <c r="F144" s="1065"/>
      <c r="G144" s="1065"/>
      <c r="H144" s="1065"/>
      <c r="I144" s="1065"/>
      <c r="J144" s="1065"/>
      <c r="K144" s="1066"/>
      <c r="L144" s="379"/>
    </row>
    <row r="145" spans="1:12" ht="15" thickBot="1">
      <c r="A145" s="379"/>
      <c r="B145" s="394"/>
      <c r="C145" s="583"/>
      <c r="D145" s="583"/>
      <c r="E145" s="585"/>
      <c r="F145" s="499"/>
      <c r="G145" s="585"/>
      <c r="H145" s="585"/>
      <c r="I145" s="585"/>
      <c r="J145" s="423"/>
      <c r="K145" s="389"/>
      <c r="L145" s="379"/>
    </row>
    <row r="146" spans="1:12" ht="14.25">
      <c r="A146" s="379"/>
      <c r="B146" s="384" t="s">
        <v>625</v>
      </c>
      <c r="C146" s="500"/>
      <c r="D146" s="500"/>
      <c r="E146" s="501"/>
      <c r="F146" s="502"/>
      <c r="G146" s="501"/>
      <c r="H146" s="501"/>
      <c r="I146" s="501"/>
      <c r="J146" s="503"/>
      <c r="K146" s="386"/>
      <c r="L146" s="379"/>
    </row>
    <row r="147" spans="1:12" ht="14.25">
      <c r="A147" s="379"/>
      <c r="B147" s="394"/>
      <c r="C147" s="1067" t="s">
        <v>743</v>
      </c>
      <c r="D147" s="1067"/>
      <c r="E147" s="585"/>
      <c r="F147" s="499" t="s">
        <v>744</v>
      </c>
      <c r="G147" s="585"/>
      <c r="H147" s="585"/>
      <c r="I147" s="585"/>
      <c r="J147" s="1068" t="s">
        <v>745</v>
      </c>
      <c r="K147" s="1069"/>
      <c r="L147" s="379"/>
    </row>
    <row r="148" spans="1:12" ht="14.25">
      <c r="A148" s="379"/>
      <c r="B148" s="394"/>
      <c r="C148" s="1070">
        <v>52.869</v>
      </c>
      <c r="D148" s="1070"/>
      <c r="E148" s="585" t="s">
        <v>13</v>
      </c>
      <c r="F148" s="586">
        <v>312000000</v>
      </c>
      <c r="G148" s="504" t="s">
        <v>630</v>
      </c>
      <c r="H148" s="585">
        <v>1000</v>
      </c>
      <c r="I148" s="585" t="s">
        <v>629</v>
      </c>
      <c r="J148" s="1068">
        <f>C148*(F148/1000)</f>
        <v>16495128</v>
      </c>
      <c r="K148" s="1071"/>
      <c r="L148" s="379"/>
    </row>
    <row r="149" spans="1:12" ht="15" thickBot="1">
      <c r="A149" s="379"/>
      <c r="B149" s="390"/>
      <c r="C149" s="496"/>
      <c r="D149" s="496"/>
      <c r="E149" s="406"/>
      <c r="F149" s="497"/>
      <c r="G149" s="406"/>
      <c r="H149" s="406"/>
      <c r="I149" s="406"/>
      <c r="J149" s="498"/>
      <c r="K149" s="392"/>
      <c r="L149" s="379"/>
    </row>
    <row r="150" spans="1:12" ht="15" thickBot="1">
      <c r="A150" s="379"/>
      <c r="B150" s="390"/>
      <c r="C150" s="391"/>
      <c r="D150" s="391"/>
      <c r="E150" s="391"/>
      <c r="F150" s="391"/>
      <c r="G150" s="391"/>
      <c r="H150" s="391"/>
      <c r="I150" s="391"/>
      <c r="J150" s="391"/>
      <c r="K150" s="392"/>
      <c r="L150" s="379"/>
    </row>
    <row r="151" spans="1:12" ht="14.25">
      <c r="A151" s="379"/>
      <c r="B151" s="379"/>
      <c r="C151" s="379"/>
      <c r="D151" s="379"/>
      <c r="E151" s="379"/>
      <c r="F151" s="379"/>
      <c r="G151" s="379"/>
      <c r="H151" s="379"/>
      <c r="I151" s="379"/>
      <c r="J151" s="379"/>
      <c r="K151" s="379"/>
      <c r="L151" s="379"/>
    </row>
    <row r="152" spans="1:12" ht="14.25">
      <c r="A152" s="379"/>
      <c r="B152" s="379"/>
      <c r="C152" s="379"/>
      <c r="D152" s="379"/>
      <c r="E152" s="379"/>
      <c r="F152" s="379"/>
      <c r="G152" s="379"/>
      <c r="H152" s="379"/>
      <c r="I152" s="379"/>
      <c r="J152" s="379"/>
      <c r="K152" s="379"/>
      <c r="L152" s="379"/>
    </row>
    <row r="153" spans="1:12" ht="14.25">
      <c r="A153" s="379"/>
      <c r="B153" s="379"/>
      <c r="C153" s="379"/>
      <c r="D153" s="379"/>
      <c r="E153" s="379"/>
      <c r="F153" s="379"/>
      <c r="G153" s="379"/>
      <c r="H153" s="379"/>
      <c r="I153" s="379"/>
      <c r="J153" s="379"/>
      <c r="K153" s="379"/>
      <c r="L153" s="379"/>
    </row>
    <row r="154" spans="1:12" ht="14.25">
      <c r="A154" s="424"/>
      <c r="B154" s="424"/>
      <c r="C154" s="424"/>
      <c r="D154" s="424"/>
      <c r="E154" s="424"/>
      <c r="F154" s="424"/>
      <c r="G154" s="424"/>
      <c r="H154" s="424"/>
      <c r="I154" s="424"/>
      <c r="J154" s="424"/>
      <c r="K154" s="424"/>
      <c r="L154" s="424"/>
    </row>
    <row r="155" spans="1:12" ht="14.25">
      <c r="A155" s="424"/>
      <c r="B155" s="424"/>
      <c r="C155" s="424"/>
      <c r="D155" s="424"/>
      <c r="E155" s="424"/>
      <c r="F155" s="424"/>
      <c r="G155" s="424"/>
      <c r="H155" s="424"/>
      <c r="I155" s="424"/>
      <c r="J155" s="424"/>
      <c r="K155" s="424"/>
      <c r="L155" s="424"/>
    </row>
    <row r="156" spans="1:12" ht="14.25">
      <c r="A156" s="424"/>
      <c r="B156" s="424"/>
      <c r="C156" s="424"/>
      <c r="D156" s="424"/>
      <c r="E156" s="424"/>
      <c r="F156" s="424"/>
      <c r="G156" s="424"/>
      <c r="H156" s="424"/>
      <c r="I156" s="424"/>
      <c r="J156" s="424"/>
      <c r="K156" s="424"/>
      <c r="L156" s="424"/>
    </row>
    <row r="157" spans="1:12" ht="14.25">
      <c r="A157" s="424"/>
      <c r="B157" s="424"/>
      <c r="C157" s="424"/>
      <c r="D157" s="424"/>
      <c r="E157" s="424"/>
      <c r="F157" s="424"/>
      <c r="G157" s="424"/>
      <c r="H157" s="424"/>
      <c r="I157" s="424"/>
      <c r="J157" s="424"/>
      <c r="K157" s="424"/>
      <c r="L157" s="424"/>
    </row>
    <row r="158" spans="1:12" ht="14.25">
      <c r="A158" s="424"/>
      <c r="B158" s="424"/>
      <c r="C158" s="424"/>
      <c r="D158" s="424"/>
      <c r="E158" s="424"/>
      <c r="F158" s="424"/>
      <c r="G158" s="424"/>
      <c r="H158" s="424"/>
      <c r="I158" s="424"/>
      <c r="J158" s="424"/>
      <c r="K158" s="424"/>
      <c r="L158" s="424"/>
    </row>
    <row r="159" spans="1:12" ht="14.25">
      <c r="A159" s="424"/>
      <c r="B159" s="424"/>
      <c r="C159" s="424"/>
      <c r="D159" s="424"/>
      <c r="E159" s="424"/>
      <c r="F159" s="424"/>
      <c r="G159" s="424"/>
      <c r="H159" s="424"/>
      <c r="I159" s="424"/>
      <c r="J159" s="424"/>
      <c r="K159" s="424"/>
      <c r="L159" s="424"/>
    </row>
    <row r="160" spans="1:12" ht="14.25">
      <c r="A160" s="424"/>
      <c r="B160" s="424"/>
      <c r="C160" s="424"/>
      <c r="D160" s="424"/>
      <c r="E160" s="424"/>
      <c r="F160" s="424"/>
      <c r="G160" s="424"/>
      <c r="H160" s="424"/>
      <c r="I160" s="424"/>
      <c r="J160" s="424"/>
      <c r="K160" s="424"/>
      <c r="L160" s="424"/>
    </row>
    <row r="161" spans="1:12" ht="14.25">
      <c r="A161" s="424"/>
      <c r="B161" s="424"/>
      <c r="C161" s="424"/>
      <c r="D161" s="424"/>
      <c r="E161" s="424"/>
      <c r="F161" s="424"/>
      <c r="G161" s="424"/>
      <c r="H161" s="424"/>
      <c r="I161" s="424"/>
      <c r="J161" s="424"/>
      <c r="K161" s="424"/>
      <c r="L161" s="424"/>
    </row>
    <row r="162" spans="1:12" ht="14.25">
      <c r="A162" s="424"/>
      <c r="B162" s="424"/>
      <c r="C162" s="424"/>
      <c r="D162" s="424"/>
      <c r="E162" s="424"/>
      <c r="F162" s="424"/>
      <c r="G162" s="424"/>
      <c r="H162" s="424"/>
      <c r="I162" s="424"/>
      <c r="J162" s="424"/>
      <c r="K162" s="424"/>
      <c r="L162" s="424"/>
    </row>
    <row r="163" spans="1:12" ht="14.25">
      <c r="A163" s="424"/>
      <c r="B163" s="424"/>
      <c r="C163" s="424"/>
      <c r="D163" s="424"/>
      <c r="E163" s="424"/>
      <c r="F163" s="424"/>
      <c r="G163" s="424"/>
      <c r="H163" s="424"/>
      <c r="I163" s="424"/>
      <c r="J163" s="424"/>
      <c r="K163" s="424"/>
      <c r="L163" s="424"/>
    </row>
    <row r="164" spans="1:12" ht="14.25">
      <c r="A164" s="424"/>
      <c r="B164" s="424"/>
      <c r="C164" s="424"/>
      <c r="D164" s="424"/>
      <c r="E164" s="424"/>
      <c r="F164" s="424"/>
      <c r="G164" s="424"/>
      <c r="H164" s="424"/>
      <c r="I164" s="424"/>
      <c r="J164" s="424"/>
      <c r="K164" s="424"/>
      <c r="L164" s="424"/>
    </row>
    <row r="165" spans="1:12" ht="14.25">
      <c r="A165" s="424"/>
      <c r="B165" s="424"/>
      <c r="C165" s="424"/>
      <c r="D165" s="424"/>
      <c r="E165" s="424"/>
      <c r="F165" s="424"/>
      <c r="G165" s="424"/>
      <c r="H165" s="424"/>
      <c r="I165" s="424"/>
      <c r="J165" s="424"/>
      <c r="K165" s="424"/>
      <c r="L165" s="424"/>
    </row>
    <row r="166" spans="1:12" ht="14.25">
      <c r="A166" s="424"/>
      <c r="B166" s="424"/>
      <c r="C166" s="424"/>
      <c r="D166" s="424"/>
      <c r="E166" s="424"/>
      <c r="F166" s="424"/>
      <c r="G166" s="424"/>
      <c r="H166" s="424"/>
      <c r="I166" s="424"/>
      <c r="J166" s="424"/>
      <c r="K166" s="424"/>
      <c r="L166" s="424"/>
    </row>
    <row r="167" spans="1:12" ht="14.25">
      <c r="A167" s="424"/>
      <c r="B167" s="424"/>
      <c r="C167" s="424"/>
      <c r="D167" s="424"/>
      <c r="E167" s="424"/>
      <c r="F167" s="424"/>
      <c r="G167" s="424"/>
      <c r="H167" s="424"/>
      <c r="I167" s="424"/>
      <c r="J167" s="424"/>
      <c r="K167" s="424"/>
      <c r="L167" s="424"/>
    </row>
    <row r="168" spans="1:12" ht="14.25">
      <c r="A168" s="424"/>
      <c r="B168" s="424"/>
      <c r="C168" s="424"/>
      <c r="D168" s="424"/>
      <c r="E168" s="424"/>
      <c r="F168" s="424"/>
      <c r="G168" s="424"/>
      <c r="H168" s="424"/>
      <c r="I168" s="424"/>
      <c r="J168" s="424"/>
      <c r="K168" s="424"/>
      <c r="L168" s="424"/>
    </row>
    <row r="169" spans="1:12" ht="14.25">
      <c r="A169" s="424"/>
      <c r="B169" s="424"/>
      <c r="C169" s="424"/>
      <c r="D169" s="424"/>
      <c r="E169" s="424"/>
      <c r="F169" s="424"/>
      <c r="G169" s="424"/>
      <c r="H169" s="424"/>
      <c r="I169" s="424"/>
      <c r="J169" s="424"/>
      <c r="K169" s="424"/>
      <c r="L169" s="424"/>
    </row>
    <row r="170" spans="1:12" ht="14.25">
      <c r="A170" s="424"/>
      <c r="B170" s="424"/>
      <c r="C170" s="424"/>
      <c r="D170" s="424"/>
      <c r="E170" s="424"/>
      <c r="F170" s="424"/>
      <c r="G170" s="424"/>
      <c r="H170" s="424"/>
      <c r="I170" s="424"/>
      <c r="J170" s="424"/>
      <c r="K170" s="424"/>
      <c r="L170" s="424"/>
    </row>
    <row r="171" spans="1:12" ht="14.25">
      <c r="A171" s="424"/>
      <c r="B171" s="424"/>
      <c r="C171" s="424"/>
      <c r="D171" s="424"/>
      <c r="E171" s="424"/>
      <c r="F171" s="424"/>
      <c r="G171" s="424"/>
      <c r="H171" s="424"/>
      <c r="I171" s="424"/>
      <c r="J171" s="424"/>
      <c r="K171" s="424"/>
      <c r="L171" s="424"/>
    </row>
    <row r="172" spans="1:12" ht="14.25">
      <c r="A172" s="424"/>
      <c r="B172" s="424"/>
      <c r="C172" s="424"/>
      <c r="D172" s="424"/>
      <c r="E172" s="424"/>
      <c r="F172" s="424"/>
      <c r="G172" s="424"/>
      <c r="H172" s="424"/>
      <c r="I172" s="424"/>
      <c r="J172" s="424"/>
      <c r="K172" s="424"/>
      <c r="L172" s="424"/>
    </row>
    <row r="173" spans="1:12" ht="14.25">
      <c r="A173" s="424"/>
      <c r="B173" s="424"/>
      <c r="C173" s="424"/>
      <c r="D173" s="424"/>
      <c r="E173" s="424"/>
      <c r="F173" s="424"/>
      <c r="G173" s="424"/>
      <c r="H173" s="424"/>
      <c r="I173" s="424"/>
      <c r="J173" s="424"/>
      <c r="K173" s="424"/>
      <c r="L173" s="424"/>
    </row>
    <row r="174" spans="1:12" ht="14.25">
      <c r="A174" s="424"/>
      <c r="B174" s="424"/>
      <c r="C174" s="424"/>
      <c r="D174" s="424"/>
      <c r="E174" s="424"/>
      <c r="F174" s="424"/>
      <c r="G174" s="424"/>
      <c r="H174" s="424"/>
      <c r="I174" s="424"/>
      <c r="J174" s="424"/>
      <c r="K174" s="424"/>
      <c r="L174" s="424"/>
    </row>
    <row r="175" spans="1:12" ht="14.25">
      <c r="A175" s="424"/>
      <c r="B175" s="424"/>
      <c r="C175" s="424"/>
      <c r="D175" s="424"/>
      <c r="E175" s="424"/>
      <c r="F175" s="424"/>
      <c r="G175" s="424"/>
      <c r="H175" s="424"/>
      <c r="I175" s="424"/>
      <c r="J175" s="424"/>
      <c r="K175" s="424"/>
      <c r="L175" s="424"/>
    </row>
    <row r="176" spans="1:12" ht="14.25">
      <c r="A176" s="424"/>
      <c r="B176" s="424"/>
      <c r="C176" s="424"/>
      <c r="D176" s="424"/>
      <c r="E176" s="424"/>
      <c r="F176" s="424"/>
      <c r="G176" s="424"/>
      <c r="H176" s="424"/>
      <c r="I176" s="424"/>
      <c r="J176" s="424"/>
      <c r="K176" s="424"/>
      <c r="L176" s="424"/>
    </row>
    <row r="177" spans="1:12" ht="14.25">
      <c r="A177" s="424"/>
      <c r="B177" s="424"/>
      <c r="C177" s="424"/>
      <c r="D177" s="424"/>
      <c r="E177" s="424"/>
      <c r="F177" s="424"/>
      <c r="G177" s="424"/>
      <c r="H177" s="424"/>
      <c r="I177" s="424"/>
      <c r="J177" s="424"/>
      <c r="K177" s="424"/>
      <c r="L177" s="424"/>
    </row>
    <row r="178" spans="1:12" ht="14.25">
      <c r="A178" s="424"/>
      <c r="B178" s="424"/>
      <c r="C178" s="424"/>
      <c r="D178" s="424"/>
      <c r="E178" s="424"/>
      <c r="F178" s="424"/>
      <c r="G178" s="424"/>
      <c r="H178" s="424"/>
      <c r="I178" s="424"/>
      <c r="J178" s="424"/>
      <c r="K178" s="424"/>
      <c r="L178" s="424"/>
    </row>
    <row r="179" spans="1:12" ht="14.25">
      <c r="A179" s="424"/>
      <c r="B179" s="424"/>
      <c r="C179" s="424"/>
      <c r="D179" s="424"/>
      <c r="E179" s="424"/>
      <c r="F179" s="424"/>
      <c r="G179" s="424"/>
      <c r="H179" s="424"/>
      <c r="I179" s="424"/>
      <c r="J179" s="424"/>
      <c r="K179" s="424"/>
      <c r="L179" s="424"/>
    </row>
    <row r="180" spans="1:12" ht="14.25">
      <c r="A180" s="424"/>
      <c r="B180" s="424"/>
      <c r="C180" s="424"/>
      <c r="D180" s="424"/>
      <c r="E180" s="424"/>
      <c r="F180" s="424"/>
      <c r="G180" s="424"/>
      <c r="H180" s="424"/>
      <c r="I180" s="424"/>
      <c r="J180" s="424"/>
      <c r="K180" s="424"/>
      <c r="L180" s="424"/>
    </row>
    <row r="181" spans="1:12" ht="14.25">
      <c r="A181" s="424"/>
      <c r="B181" s="424"/>
      <c r="C181" s="424"/>
      <c r="D181" s="424"/>
      <c r="E181" s="424"/>
      <c r="F181" s="424"/>
      <c r="G181" s="424"/>
      <c r="H181" s="424"/>
      <c r="I181" s="424"/>
      <c r="J181" s="424"/>
      <c r="K181" s="424"/>
      <c r="L181" s="424"/>
    </row>
    <row r="182" spans="1:12" ht="14.25">
      <c r="A182" s="424"/>
      <c r="B182" s="424"/>
      <c r="C182" s="424"/>
      <c r="D182" s="424"/>
      <c r="E182" s="424"/>
      <c r="F182" s="424"/>
      <c r="G182" s="424"/>
      <c r="H182" s="424"/>
      <c r="I182" s="424"/>
      <c r="J182" s="424"/>
      <c r="K182" s="424"/>
      <c r="L182" s="424"/>
    </row>
    <row r="183" spans="1:12" ht="14.25">
      <c r="A183" s="424"/>
      <c r="B183" s="424"/>
      <c r="C183" s="424"/>
      <c r="D183" s="424"/>
      <c r="E183" s="424"/>
      <c r="F183" s="424"/>
      <c r="G183" s="424"/>
      <c r="H183" s="424"/>
      <c r="I183" s="424"/>
      <c r="J183" s="424"/>
      <c r="K183" s="424"/>
      <c r="L183" s="424"/>
    </row>
    <row r="184" spans="1:12" ht="14.25">
      <c r="A184" s="424"/>
      <c r="B184" s="424"/>
      <c r="C184" s="424"/>
      <c r="D184" s="424"/>
      <c r="E184" s="424"/>
      <c r="F184" s="424"/>
      <c r="G184" s="424"/>
      <c r="H184" s="424"/>
      <c r="I184" s="424"/>
      <c r="J184" s="424"/>
      <c r="K184" s="424"/>
      <c r="L184" s="424"/>
    </row>
    <row r="185" spans="1:12" ht="14.25">
      <c r="A185" s="424"/>
      <c r="B185" s="424"/>
      <c r="C185" s="424"/>
      <c r="D185" s="424"/>
      <c r="E185" s="424"/>
      <c r="F185" s="424"/>
      <c r="G185" s="424"/>
      <c r="H185" s="424"/>
      <c r="I185" s="424"/>
      <c r="J185" s="424"/>
      <c r="K185" s="424"/>
      <c r="L185" s="424"/>
    </row>
    <row r="186" spans="1:12" ht="14.25">
      <c r="A186" s="424"/>
      <c r="B186" s="424"/>
      <c r="C186" s="424"/>
      <c r="D186" s="424"/>
      <c r="E186" s="424"/>
      <c r="F186" s="424"/>
      <c r="G186" s="424"/>
      <c r="H186" s="424"/>
      <c r="I186" s="424"/>
      <c r="J186" s="424"/>
      <c r="K186" s="424"/>
      <c r="L186" s="424"/>
    </row>
    <row r="187" spans="1:12" ht="14.25">
      <c r="A187" s="424"/>
      <c r="B187" s="424"/>
      <c r="C187" s="424"/>
      <c r="D187" s="424"/>
      <c r="E187" s="424"/>
      <c r="F187" s="424"/>
      <c r="G187" s="424"/>
      <c r="H187" s="424"/>
      <c r="I187" s="424"/>
      <c r="J187" s="424"/>
      <c r="K187" s="424"/>
      <c r="L187" s="424"/>
    </row>
    <row r="188" spans="1:12" ht="14.25">
      <c r="A188" s="424"/>
      <c r="B188" s="424"/>
      <c r="C188" s="424"/>
      <c r="D188" s="424"/>
      <c r="E188" s="424"/>
      <c r="F188" s="424"/>
      <c r="G188" s="424"/>
      <c r="H188" s="424"/>
      <c r="I188" s="424"/>
      <c r="J188" s="424"/>
      <c r="K188" s="424"/>
      <c r="L188" s="424"/>
    </row>
    <row r="189" spans="1:12" ht="14.25">
      <c r="A189" s="424"/>
      <c r="B189" s="424"/>
      <c r="C189" s="424"/>
      <c r="D189" s="424"/>
      <c r="E189" s="424"/>
      <c r="F189" s="424"/>
      <c r="G189" s="424"/>
      <c r="H189" s="424"/>
      <c r="I189" s="424"/>
      <c r="J189" s="424"/>
      <c r="K189" s="424"/>
      <c r="L189" s="424"/>
    </row>
    <row r="190" spans="1:12" ht="14.25">
      <c r="A190" s="424"/>
      <c r="B190" s="424"/>
      <c r="C190" s="424"/>
      <c r="D190" s="424"/>
      <c r="E190" s="424"/>
      <c r="F190" s="424"/>
      <c r="G190" s="424"/>
      <c r="H190" s="424"/>
      <c r="I190" s="424"/>
      <c r="J190" s="424"/>
      <c r="K190" s="424"/>
      <c r="L190" s="424"/>
    </row>
    <row r="191" spans="1:12" ht="14.25">
      <c r="A191" s="424"/>
      <c r="B191" s="424"/>
      <c r="C191" s="424"/>
      <c r="D191" s="424"/>
      <c r="E191" s="424"/>
      <c r="F191" s="424"/>
      <c r="G191" s="424"/>
      <c r="H191" s="424"/>
      <c r="I191" s="424"/>
      <c r="J191" s="424"/>
      <c r="K191" s="424"/>
      <c r="L191" s="424"/>
    </row>
    <row r="192" spans="1:12" ht="14.25">
      <c r="A192" s="424"/>
      <c r="B192" s="424"/>
      <c r="C192" s="424"/>
      <c r="D192" s="424"/>
      <c r="E192" s="424"/>
      <c r="F192" s="424"/>
      <c r="G192" s="424"/>
      <c r="H192" s="424"/>
      <c r="I192" s="424"/>
      <c r="J192" s="424"/>
      <c r="K192" s="424"/>
      <c r="L192" s="424"/>
    </row>
    <row r="193" spans="1:12" ht="14.25">
      <c r="A193" s="424"/>
      <c r="B193" s="424"/>
      <c r="C193" s="424"/>
      <c r="D193" s="424"/>
      <c r="E193" s="424"/>
      <c r="F193" s="424"/>
      <c r="G193" s="424"/>
      <c r="H193" s="424"/>
      <c r="I193" s="424"/>
      <c r="J193" s="424"/>
      <c r="K193" s="424"/>
      <c r="L193" s="424"/>
    </row>
    <row r="194" spans="1:12" ht="14.25">
      <c r="A194" s="424"/>
      <c r="B194" s="424"/>
      <c r="C194" s="424"/>
      <c r="D194" s="424"/>
      <c r="E194" s="424"/>
      <c r="F194" s="424"/>
      <c r="G194" s="424"/>
      <c r="H194" s="424"/>
      <c r="I194" s="424"/>
      <c r="J194" s="424"/>
      <c r="K194" s="424"/>
      <c r="L194" s="424"/>
    </row>
    <row r="195" spans="1:12" ht="14.25">
      <c r="A195" s="424"/>
      <c r="B195" s="424"/>
      <c r="C195" s="424"/>
      <c r="D195" s="424"/>
      <c r="E195" s="424"/>
      <c r="F195" s="424"/>
      <c r="G195" s="424"/>
      <c r="H195" s="424"/>
      <c r="I195" s="424"/>
      <c r="J195" s="424"/>
      <c r="K195" s="424"/>
      <c r="L195" s="424"/>
    </row>
    <row r="196" spans="1:12" ht="14.25">
      <c r="A196" s="424"/>
      <c r="B196" s="424"/>
      <c r="C196" s="424"/>
      <c r="D196" s="424"/>
      <c r="E196" s="424"/>
      <c r="F196" s="424"/>
      <c r="G196" s="424"/>
      <c r="H196" s="424"/>
      <c r="I196" s="424"/>
      <c r="J196" s="424"/>
      <c r="K196" s="424"/>
      <c r="L196" s="424"/>
    </row>
    <row r="197" spans="1:12" ht="14.25">
      <c r="A197" s="424"/>
      <c r="B197" s="424"/>
      <c r="C197" s="424"/>
      <c r="D197" s="424"/>
      <c r="E197" s="424"/>
      <c r="F197" s="424"/>
      <c r="G197" s="424"/>
      <c r="H197" s="424"/>
      <c r="I197" s="424"/>
      <c r="J197" s="424"/>
      <c r="K197" s="424"/>
      <c r="L197" s="424"/>
    </row>
    <row r="198" spans="1:12" ht="14.25">
      <c r="A198" s="424"/>
      <c r="B198" s="424"/>
      <c r="C198" s="424"/>
      <c r="D198" s="424"/>
      <c r="E198" s="424"/>
      <c r="F198" s="424"/>
      <c r="G198" s="424"/>
      <c r="H198" s="424"/>
      <c r="I198" s="424"/>
      <c r="J198" s="424"/>
      <c r="K198" s="424"/>
      <c r="L198" s="424"/>
    </row>
    <row r="199" spans="1:12" ht="14.25">
      <c r="A199" s="424"/>
      <c r="B199" s="424"/>
      <c r="C199" s="424"/>
      <c r="D199" s="424"/>
      <c r="E199" s="424"/>
      <c r="F199" s="424"/>
      <c r="G199" s="424"/>
      <c r="H199" s="424"/>
      <c r="I199" s="424"/>
      <c r="J199" s="424"/>
      <c r="K199" s="424"/>
      <c r="L199" s="424"/>
    </row>
    <row r="200" spans="1:12" ht="14.25">
      <c r="A200" s="424"/>
      <c r="B200" s="424"/>
      <c r="C200" s="424"/>
      <c r="D200" s="424"/>
      <c r="E200" s="424"/>
      <c r="F200" s="424"/>
      <c r="G200" s="424"/>
      <c r="H200" s="424"/>
      <c r="I200" s="424"/>
      <c r="J200" s="424"/>
      <c r="K200" s="424"/>
      <c r="L200" s="424"/>
    </row>
    <row r="201" spans="1:12" ht="14.25">
      <c r="A201" s="424"/>
      <c r="B201" s="424"/>
      <c r="C201" s="424"/>
      <c r="D201" s="424"/>
      <c r="E201" s="424"/>
      <c r="F201" s="424"/>
      <c r="G201" s="424"/>
      <c r="H201" s="424"/>
      <c r="I201" s="424"/>
      <c r="J201" s="424"/>
      <c r="K201" s="424"/>
      <c r="L201" s="424"/>
    </row>
    <row r="202" spans="1:12" ht="14.25">
      <c r="A202" s="424"/>
      <c r="B202" s="424"/>
      <c r="C202" s="424"/>
      <c r="D202" s="424"/>
      <c r="E202" s="424"/>
      <c r="F202" s="424"/>
      <c r="G202" s="424"/>
      <c r="H202" s="424"/>
      <c r="I202" s="424"/>
      <c r="J202" s="424"/>
      <c r="K202" s="424"/>
      <c r="L202" s="424"/>
    </row>
    <row r="203" spans="1:12" ht="14.25">
      <c r="A203" s="424"/>
      <c r="B203" s="424"/>
      <c r="C203" s="424"/>
      <c r="D203" s="424"/>
      <c r="E203" s="424"/>
      <c r="F203" s="424"/>
      <c r="G203" s="424"/>
      <c r="H203" s="424"/>
      <c r="I203" s="424"/>
      <c r="J203" s="424"/>
      <c r="K203" s="424"/>
      <c r="L203" s="424"/>
    </row>
    <row r="204" spans="1:12" ht="14.25">
      <c r="A204" s="424"/>
      <c r="B204" s="424"/>
      <c r="C204" s="424"/>
      <c r="D204" s="424"/>
      <c r="E204" s="424"/>
      <c r="F204" s="424"/>
      <c r="G204" s="424"/>
      <c r="H204" s="424"/>
      <c r="I204" s="424"/>
      <c r="J204" s="424"/>
      <c r="K204" s="424"/>
      <c r="L204" s="424"/>
    </row>
    <row r="205" spans="1:12" ht="14.25">
      <c r="A205" s="424"/>
      <c r="B205" s="424"/>
      <c r="C205" s="424"/>
      <c r="D205" s="424"/>
      <c r="E205" s="424"/>
      <c r="F205" s="424"/>
      <c r="G205" s="424"/>
      <c r="H205" s="424"/>
      <c r="I205" s="424"/>
      <c r="J205" s="424"/>
      <c r="K205" s="424"/>
      <c r="L205" s="424"/>
    </row>
    <row r="206" spans="1:12" ht="14.25">
      <c r="A206" s="424"/>
      <c r="B206" s="424"/>
      <c r="C206" s="424"/>
      <c r="D206" s="424"/>
      <c r="E206" s="424"/>
      <c r="F206" s="424"/>
      <c r="G206" s="424"/>
      <c r="H206" s="424"/>
      <c r="I206" s="424"/>
      <c r="J206" s="424"/>
      <c r="K206" s="424"/>
      <c r="L206" s="424"/>
    </row>
    <row r="207" spans="1:12" ht="14.25">
      <c r="A207" s="424"/>
      <c r="B207" s="424"/>
      <c r="C207" s="424"/>
      <c r="D207" s="424"/>
      <c r="E207" s="424"/>
      <c r="F207" s="424"/>
      <c r="G207" s="424"/>
      <c r="H207" s="424"/>
      <c r="I207" s="424"/>
      <c r="J207" s="424"/>
      <c r="K207" s="424"/>
      <c r="L207" s="424"/>
    </row>
    <row r="208" spans="1:12" ht="14.25">
      <c r="A208" s="424"/>
      <c r="B208" s="424"/>
      <c r="C208" s="424"/>
      <c r="D208" s="424"/>
      <c r="E208" s="424"/>
      <c r="F208" s="424"/>
      <c r="G208" s="424"/>
      <c r="H208" s="424"/>
      <c r="I208" s="424"/>
      <c r="J208" s="424"/>
      <c r="K208" s="424"/>
      <c r="L208" s="424"/>
    </row>
    <row r="209" spans="1:12" ht="14.25">
      <c r="A209" s="424"/>
      <c r="B209" s="424"/>
      <c r="C209" s="424"/>
      <c r="D209" s="424"/>
      <c r="E209" s="424"/>
      <c r="F209" s="424"/>
      <c r="G209" s="424"/>
      <c r="H209" s="424"/>
      <c r="I209" s="424"/>
      <c r="J209" s="424"/>
      <c r="K209" s="424"/>
      <c r="L209" s="424"/>
    </row>
    <row r="210" spans="1:12" ht="14.25">
      <c r="A210" s="424"/>
      <c r="B210" s="424"/>
      <c r="C210" s="424"/>
      <c r="D210" s="424"/>
      <c r="E210" s="424"/>
      <c r="F210" s="424"/>
      <c r="G210" s="424"/>
      <c r="H210" s="424"/>
      <c r="I210" s="424"/>
      <c r="J210" s="424"/>
      <c r="K210" s="424"/>
      <c r="L210" s="424"/>
    </row>
    <row r="211" spans="1:12" ht="14.25">
      <c r="A211" s="424"/>
      <c r="B211" s="424"/>
      <c r="C211" s="424"/>
      <c r="D211" s="424"/>
      <c r="E211" s="424"/>
      <c r="F211" s="424"/>
      <c r="G211" s="424"/>
      <c r="H211" s="424"/>
      <c r="I211" s="424"/>
      <c r="J211" s="424"/>
      <c r="K211" s="424"/>
      <c r="L211" s="424"/>
    </row>
    <row r="212" spans="1:12" ht="14.25">
      <c r="A212" s="424"/>
      <c r="B212" s="424"/>
      <c r="C212" s="424"/>
      <c r="D212" s="424"/>
      <c r="E212" s="424"/>
      <c r="F212" s="424"/>
      <c r="G212" s="424"/>
      <c r="H212" s="424"/>
      <c r="I212" s="424"/>
      <c r="J212" s="424"/>
      <c r="K212" s="424"/>
      <c r="L212" s="424"/>
    </row>
    <row r="213" spans="1:12" ht="14.25">
      <c r="A213" s="424"/>
      <c r="B213" s="424"/>
      <c r="C213" s="424"/>
      <c r="D213" s="424"/>
      <c r="E213" s="424"/>
      <c r="F213" s="424"/>
      <c r="G213" s="424"/>
      <c r="H213" s="424"/>
      <c r="I213" s="424"/>
      <c r="J213" s="424"/>
      <c r="K213" s="424"/>
      <c r="L213" s="424"/>
    </row>
    <row r="214" spans="1:12" ht="14.25">
      <c r="A214" s="424"/>
      <c r="B214" s="424"/>
      <c r="C214" s="424"/>
      <c r="D214" s="424"/>
      <c r="E214" s="424"/>
      <c r="F214" s="424"/>
      <c r="G214" s="424"/>
      <c r="H214" s="424"/>
      <c r="I214" s="424"/>
      <c r="J214" s="424"/>
      <c r="K214" s="424"/>
      <c r="L214" s="424"/>
    </row>
    <row r="215" spans="1:12" ht="14.25">
      <c r="A215" s="424"/>
      <c r="B215" s="424"/>
      <c r="C215" s="424"/>
      <c r="D215" s="424"/>
      <c r="E215" s="424"/>
      <c r="F215" s="424"/>
      <c r="G215" s="424"/>
      <c r="H215" s="424"/>
      <c r="I215" s="424"/>
      <c r="J215" s="424"/>
      <c r="K215" s="424"/>
      <c r="L215" s="424"/>
    </row>
    <row r="216" spans="1:12" ht="14.25">
      <c r="A216" s="424"/>
      <c r="B216" s="424"/>
      <c r="C216" s="424"/>
      <c r="D216" s="424"/>
      <c r="E216" s="424"/>
      <c r="F216" s="424"/>
      <c r="G216" s="424"/>
      <c r="H216" s="424"/>
      <c r="I216" s="424"/>
      <c r="J216" s="424"/>
      <c r="K216" s="424"/>
      <c r="L216" s="424"/>
    </row>
    <row r="217" spans="1:12" ht="14.25">
      <c r="A217" s="424"/>
      <c r="B217" s="424"/>
      <c r="C217" s="424"/>
      <c r="D217" s="424"/>
      <c r="E217" s="424"/>
      <c r="F217" s="424"/>
      <c r="G217" s="424"/>
      <c r="H217" s="424"/>
      <c r="I217" s="424"/>
      <c r="J217" s="424"/>
      <c r="K217" s="424"/>
      <c r="L217" s="424"/>
    </row>
    <row r="218" spans="1:12" ht="14.25">
      <c r="A218" s="424"/>
      <c r="B218" s="424"/>
      <c r="C218" s="424"/>
      <c r="D218" s="424"/>
      <c r="E218" s="424"/>
      <c r="F218" s="424"/>
      <c r="G218" s="424"/>
      <c r="H218" s="424"/>
      <c r="I218" s="424"/>
      <c r="J218" s="424"/>
      <c r="K218" s="424"/>
      <c r="L218" s="424"/>
    </row>
    <row r="219" spans="1:12" ht="14.25">
      <c r="A219" s="424"/>
      <c r="B219" s="424"/>
      <c r="C219" s="424"/>
      <c r="D219" s="424"/>
      <c r="E219" s="424"/>
      <c r="F219" s="424"/>
      <c r="G219" s="424"/>
      <c r="H219" s="424"/>
      <c r="I219" s="424"/>
      <c r="J219" s="424"/>
      <c r="K219" s="424"/>
      <c r="L219" s="424"/>
    </row>
    <row r="220" spans="1:12" ht="14.25">
      <c r="A220" s="424"/>
      <c r="B220" s="424"/>
      <c r="C220" s="424"/>
      <c r="D220" s="424"/>
      <c r="E220" s="424"/>
      <c r="F220" s="424"/>
      <c r="G220" s="424"/>
      <c r="H220" s="424"/>
      <c r="I220" s="424"/>
      <c r="J220" s="424"/>
      <c r="K220" s="424"/>
      <c r="L220" s="424"/>
    </row>
    <row r="221" spans="1:12" ht="14.25">
      <c r="A221" s="424"/>
      <c r="B221" s="424"/>
      <c r="C221" s="424"/>
      <c r="D221" s="424"/>
      <c r="E221" s="424"/>
      <c r="F221" s="424"/>
      <c r="G221" s="424"/>
      <c r="H221" s="424"/>
      <c r="I221" s="424"/>
      <c r="J221" s="424"/>
      <c r="K221" s="424"/>
      <c r="L221" s="424"/>
    </row>
    <row r="222" spans="1:12" ht="14.25">
      <c r="A222" s="424"/>
      <c r="B222" s="424"/>
      <c r="C222" s="424"/>
      <c r="D222" s="424"/>
      <c r="E222" s="424"/>
      <c r="F222" s="424"/>
      <c r="G222" s="424"/>
      <c r="H222" s="424"/>
      <c r="I222" s="424"/>
      <c r="J222" s="424"/>
      <c r="K222" s="424"/>
      <c r="L222" s="424"/>
    </row>
    <row r="223" spans="1:12" ht="14.25">
      <c r="A223" s="424"/>
      <c r="B223" s="424"/>
      <c r="C223" s="424"/>
      <c r="D223" s="424"/>
      <c r="E223" s="424"/>
      <c r="F223" s="424"/>
      <c r="G223" s="424"/>
      <c r="H223" s="424"/>
      <c r="I223" s="424"/>
      <c r="J223" s="424"/>
      <c r="K223" s="424"/>
      <c r="L223" s="424"/>
    </row>
    <row r="224" spans="1:12" ht="14.25">
      <c r="A224" s="424"/>
      <c r="B224" s="424"/>
      <c r="C224" s="424"/>
      <c r="D224" s="424"/>
      <c r="E224" s="424"/>
      <c r="F224" s="424"/>
      <c r="G224" s="424"/>
      <c r="H224" s="424"/>
      <c r="I224" s="424"/>
      <c r="J224" s="424"/>
      <c r="K224" s="424"/>
      <c r="L224" s="424"/>
    </row>
    <row r="225" spans="1:12" ht="14.25">
      <c r="A225" s="424"/>
      <c r="B225" s="424"/>
      <c r="C225" s="424"/>
      <c r="D225" s="424"/>
      <c r="E225" s="424"/>
      <c r="F225" s="424"/>
      <c r="G225" s="424"/>
      <c r="H225" s="424"/>
      <c r="I225" s="424"/>
      <c r="J225" s="424"/>
      <c r="K225" s="424"/>
      <c r="L225" s="424"/>
    </row>
    <row r="226" spans="1:12" ht="14.25">
      <c r="A226" s="424"/>
      <c r="B226" s="424"/>
      <c r="C226" s="424"/>
      <c r="D226" s="424"/>
      <c r="E226" s="424"/>
      <c r="F226" s="424"/>
      <c r="G226" s="424"/>
      <c r="H226" s="424"/>
      <c r="I226" s="424"/>
      <c r="J226" s="424"/>
      <c r="K226" s="424"/>
      <c r="L226" s="424"/>
    </row>
    <row r="227" spans="1:12" ht="14.25">
      <c r="A227" s="424"/>
      <c r="B227" s="424"/>
      <c r="C227" s="424"/>
      <c r="D227" s="424"/>
      <c r="E227" s="424"/>
      <c r="F227" s="424"/>
      <c r="G227" s="424"/>
      <c r="H227" s="424"/>
      <c r="I227" s="424"/>
      <c r="J227" s="424"/>
      <c r="K227" s="424"/>
      <c r="L227" s="424"/>
    </row>
    <row r="228" spans="1:12" ht="14.25">
      <c r="A228" s="424"/>
      <c r="B228" s="424"/>
      <c r="C228" s="424"/>
      <c r="D228" s="424"/>
      <c r="E228" s="424"/>
      <c r="F228" s="424"/>
      <c r="G228" s="424"/>
      <c r="H228" s="424"/>
      <c r="I228" s="424"/>
      <c r="J228" s="424"/>
      <c r="K228" s="424"/>
      <c r="L228" s="424"/>
    </row>
    <row r="229" spans="1:12" ht="14.25">
      <c r="A229" s="424"/>
      <c r="B229" s="424"/>
      <c r="C229" s="424"/>
      <c r="D229" s="424"/>
      <c r="E229" s="424"/>
      <c r="F229" s="424"/>
      <c r="G229" s="424"/>
      <c r="H229" s="424"/>
      <c r="I229" s="424"/>
      <c r="J229" s="424"/>
      <c r="K229" s="424"/>
      <c r="L229" s="424"/>
    </row>
    <row r="230" spans="1:12" ht="14.25">
      <c r="A230" s="424"/>
      <c r="B230" s="424"/>
      <c r="C230" s="424"/>
      <c r="D230" s="424"/>
      <c r="E230" s="424"/>
      <c r="F230" s="424"/>
      <c r="G230" s="424"/>
      <c r="H230" s="424"/>
      <c r="I230" s="424"/>
      <c r="J230" s="424"/>
      <c r="K230" s="424"/>
      <c r="L230" s="424"/>
    </row>
    <row r="231" spans="1:12" ht="14.25">
      <c r="A231" s="424"/>
      <c r="B231" s="424"/>
      <c r="C231" s="424"/>
      <c r="D231" s="424"/>
      <c r="E231" s="424"/>
      <c r="F231" s="424"/>
      <c r="G231" s="424"/>
      <c r="H231" s="424"/>
      <c r="I231" s="424"/>
      <c r="J231" s="424"/>
      <c r="K231" s="424"/>
      <c r="L231" s="424"/>
    </row>
    <row r="232" spans="1:12" ht="14.25">
      <c r="A232" s="424"/>
      <c r="B232" s="424"/>
      <c r="C232" s="424"/>
      <c r="D232" s="424"/>
      <c r="E232" s="424"/>
      <c r="F232" s="424"/>
      <c r="G232" s="424"/>
      <c r="H232" s="424"/>
      <c r="I232" s="424"/>
      <c r="J232" s="424"/>
      <c r="K232" s="424"/>
      <c r="L232" s="424"/>
    </row>
    <row r="233" spans="1:12" ht="14.25">
      <c r="A233" s="424"/>
      <c r="B233" s="424"/>
      <c r="C233" s="424"/>
      <c r="D233" s="424"/>
      <c r="E233" s="424"/>
      <c r="F233" s="424"/>
      <c r="G233" s="424"/>
      <c r="H233" s="424"/>
      <c r="I233" s="424"/>
      <c r="J233" s="424"/>
      <c r="K233" s="424"/>
      <c r="L233" s="424"/>
    </row>
    <row r="234" spans="1:12" ht="14.25">
      <c r="A234" s="424"/>
      <c r="B234" s="424"/>
      <c r="C234" s="424"/>
      <c r="D234" s="424"/>
      <c r="E234" s="424"/>
      <c r="F234" s="424"/>
      <c r="G234" s="424"/>
      <c r="H234" s="424"/>
      <c r="I234" s="424"/>
      <c r="J234" s="424"/>
      <c r="K234" s="424"/>
      <c r="L234" s="424"/>
    </row>
    <row r="235" spans="1:12" ht="14.25">
      <c r="A235" s="424"/>
      <c r="B235" s="424"/>
      <c r="C235" s="424"/>
      <c r="D235" s="424"/>
      <c r="E235" s="424"/>
      <c r="F235" s="424"/>
      <c r="G235" s="424"/>
      <c r="H235" s="424"/>
      <c r="I235" s="424"/>
      <c r="J235" s="424"/>
      <c r="K235" s="424"/>
      <c r="L235" s="424"/>
    </row>
    <row r="236" spans="1:12" ht="14.25">
      <c r="A236" s="424"/>
      <c r="B236" s="424"/>
      <c r="C236" s="424"/>
      <c r="D236" s="424"/>
      <c r="E236" s="424"/>
      <c r="F236" s="424"/>
      <c r="G236" s="424"/>
      <c r="H236" s="424"/>
      <c r="I236" s="424"/>
      <c r="J236" s="424"/>
      <c r="K236" s="424"/>
      <c r="L236" s="424"/>
    </row>
    <row r="237" spans="1:12" ht="14.25">
      <c r="A237" s="424"/>
      <c r="B237" s="424"/>
      <c r="C237" s="424"/>
      <c r="D237" s="424"/>
      <c r="E237" s="424"/>
      <c r="F237" s="424"/>
      <c r="G237" s="424"/>
      <c r="H237" s="424"/>
      <c r="I237" s="424"/>
      <c r="J237" s="424"/>
      <c r="K237" s="424"/>
      <c r="L237" s="424"/>
    </row>
    <row r="238" spans="1:12" ht="14.25">
      <c r="A238" s="424"/>
      <c r="B238" s="424"/>
      <c r="C238" s="424"/>
      <c r="D238" s="424"/>
      <c r="E238" s="424"/>
      <c r="F238" s="424"/>
      <c r="G238" s="424"/>
      <c r="H238" s="424"/>
      <c r="I238" s="424"/>
      <c r="J238" s="424"/>
      <c r="K238" s="424"/>
      <c r="L238" s="424"/>
    </row>
    <row r="239" spans="1:12" ht="14.25">
      <c r="A239" s="424"/>
      <c r="B239" s="424"/>
      <c r="C239" s="424"/>
      <c r="D239" s="424"/>
      <c r="E239" s="424"/>
      <c r="F239" s="424"/>
      <c r="G239" s="424"/>
      <c r="H239" s="424"/>
      <c r="I239" s="424"/>
      <c r="J239" s="424"/>
      <c r="K239" s="424"/>
      <c r="L239" s="424"/>
    </row>
    <row r="240" spans="1:12" ht="14.25">
      <c r="A240" s="424"/>
      <c r="B240" s="424"/>
      <c r="C240" s="424"/>
      <c r="D240" s="424"/>
      <c r="E240" s="424"/>
      <c r="F240" s="424"/>
      <c r="G240" s="424"/>
      <c r="H240" s="424"/>
      <c r="I240" s="424"/>
      <c r="J240" s="424"/>
      <c r="K240" s="424"/>
      <c r="L240" s="424"/>
    </row>
    <row r="241" spans="1:12" ht="14.25">
      <c r="A241" s="424"/>
      <c r="B241" s="424"/>
      <c r="C241" s="424"/>
      <c r="D241" s="424"/>
      <c r="E241" s="424"/>
      <c r="F241" s="424"/>
      <c r="G241" s="424"/>
      <c r="H241" s="424"/>
      <c r="I241" s="424"/>
      <c r="J241" s="424"/>
      <c r="K241" s="424"/>
      <c r="L241" s="424"/>
    </row>
    <row r="242" spans="1:12" ht="14.25">
      <c r="A242" s="424"/>
      <c r="B242" s="424"/>
      <c r="C242" s="424"/>
      <c r="D242" s="424"/>
      <c r="E242" s="424"/>
      <c r="F242" s="424"/>
      <c r="G242" s="424"/>
      <c r="H242" s="424"/>
      <c r="I242" s="424"/>
      <c r="J242" s="424"/>
      <c r="K242" s="424"/>
      <c r="L242" s="424"/>
    </row>
    <row r="243" spans="1:12" ht="14.25">
      <c r="A243" s="424"/>
      <c r="B243" s="424"/>
      <c r="C243" s="424"/>
      <c r="D243" s="424"/>
      <c r="E243" s="424"/>
      <c r="F243" s="424"/>
      <c r="G243" s="424"/>
      <c r="H243" s="424"/>
      <c r="I243" s="424"/>
      <c r="J243" s="424"/>
      <c r="K243" s="424"/>
      <c r="L243" s="424"/>
    </row>
    <row r="244" spans="1:12" ht="14.25">
      <c r="A244" s="424"/>
      <c r="B244" s="424"/>
      <c r="C244" s="424"/>
      <c r="D244" s="424"/>
      <c r="E244" s="424"/>
      <c r="F244" s="424"/>
      <c r="G244" s="424"/>
      <c r="H244" s="424"/>
      <c r="I244" s="424"/>
      <c r="J244" s="424"/>
      <c r="K244" s="424"/>
      <c r="L244" s="424"/>
    </row>
    <row r="245" spans="1:12" ht="14.25">
      <c r="A245" s="424"/>
      <c r="B245" s="424"/>
      <c r="C245" s="424"/>
      <c r="D245" s="424"/>
      <c r="E245" s="424"/>
      <c r="F245" s="424"/>
      <c r="G245" s="424"/>
      <c r="H245" s="424"/>
      <c r="I245" s="424"/>
      <c r="J245" s="424"/>
      <c r="K245" s="424"/>
      <c r="L245" s="424"/>
    </row>
    <row r="246" spans="1:12" ht="14.25">
      <c r="A246" s="424"/>
      <c r="B246" s="424"/>
      <c r="C246" s="424"/>
      <c r="D246" s="424"/>
      <c r="E246" s="424"/>
      <c r="F246" s="424"/>
      <c r="G246" s="424"/>
      <c r="H246" s="424"/>
      <c r="I246" s="424"/>
      <c r="J246" s="424"/>
      <c r="K246" s="424"/>
      <c r="L246" s="424"/>
    </row>
    <row r="247" spans="1:12" ht="14.25">
      <c r="A247" s="424"/>
      <c r="B247" s="424"/>
      <c r="C247" s="424"/>
      <c r="D247" s="424"/>
      <c r="E247" s="424"/>
      <c r="F247" s="424"/>
      <c r="G247" s="424"/>
      <c r="H247" s="424"/>
      <c r="I247" s="424"/>
      <c r="J247" s="424"/>
      <c r="K247" s="424"/>
      <c r="L247" s="424"/>
    </row>
    <row r="248" spans="1:12" ht="14.25">
      <c r="A248" s="424"/>
      <c r="B248" s="424"/>
      <c r="C248" s="424"/>
      <c r="D248" s="424"/>
      <c r="E248" s="424"/>
      <c r="F248" s="424"/>
      <c r="G248" s="424"/>
      <c r="H248" s="424"/>
      <c r="I248" s="424"/>
      <c r="J248" s="424"/>
      <c r="K248" s="424"/>
      <c r="L248" s="424"/>
    </row>
    <row r="249" spans="1:12" ht="14.25">
      <c r="A249" s="424"/>
      <c r="B249" s="424"/>
      <c r="C249" s="424"/>
      <c r="D249" s="424"/>
      <c r="E249" s="424"/>
      <c r="F249" s="424"/>
      <c r="G249" s="424"/>
      <c r="H249" s="424"/>
      <c r="I249" s="424"/>
      <c r="J249" s="424"/>
      <c r="K249" s="424"/>
      <c r="L249" s="424"/>
    </row>
    <row r="250" spans="1:12" ht="14.25">
      <c r="A250" s="424"/>
      <c r="B250" s="424"/>
      <c r="C250" s="424"/>
      <c r="D250" s="424"/>
      <c r="E250" s="424"/>
      <c r="F250" s="424"/>
      <c r="G250" s="424"/>
      <c r="H250" s="424"/>
      <c r="I250" s="424"/>
      <c r="J250" s="424"/>
      <c r="K250" s="424"/>
      <c r="L250" s="424"/>
    </row>
    <row r="251" spans="1:12" ht="14.25">
      <c r="A251" s="424"/>
      <c r="B251" s="424"/>
      <c r="C251" s="424"/>
      <c r="D251" s="424"/>
      <c r="E251" s="424"/>
      <c r="F251" s="424"/>
      <c r="G251" s="424"/>
      <c r="H251" s="424"/>
      <c r="I251" s="424"/>
      <c r="J251" s="424"/>
      <c r="K251" s="424"/>
      <c r="L251" s="424"/>
    </row>
    <row r="252" spans="1:12" ht="14.25">
      <c r="A252" s="424"/>
      <c r="B252" s="424"/>
      <c r="C252" s="424"/>
      <c r="D252" s="424"/>
      <c r="E252" s="424"/>
      <c r="F252" s="424"/>
      <c r="G252" s="424"/>
      <c r="H252" s="424"/>
      <c r="I252" s="424"/>
      <c r="J252" s="424"/>
      <c r="K252" s="424"/>
      <c r="L252" s="424"/>
    </row>
    <row r="253" spans="1:12" ht="14.25">
      <c r="A253" s="424"/>
      <c r="B253" s="424"/>
      <c r="C253" s="424"/>
      <c r="D253" s="424"/>
      <c r="E253" s="424"/>
      <c r="F253" s="424"/>
      <c r="G253" s="424"/>
      <c r="H253" s="424"/>
      <c r="I253" s="424"/>
      <c r="J253" s="424"/>
      <c r="K253" s="424"/>
      <c r="L253" s="424"/>
    </row>
    <row r="254" spans="1:12" ht="14.25">
      <c r="A254" s="424"/>
      <c r="B254" s="424"/>
      <c r="C254" s="424"/>
      <c r="D254" s="424"/>
      <c r="E254" s="424"/>
      <c r="F254" s="424"/>
      <c r="G254" s="424"/>
      <c r="H254" s="424"/>
      <c r="I254" s="424"/>
      <c r="J254" s="424"/>
      <c r="K254" s="424"/>
      <c r="L254" s="424"/>
    </row>
    <row r="255" spans="1:12" ht="14.25">
      <c r="A255" s="424"/>
      <c r="B255" s="424"/>
      <c r="C255" s="424"/>
      <c r="D255" s="424"/>
      <c r="E255" s="424"/>
      <c r="F255" s="424"/>
      <c r="G255" s="424"/>
      <c r="H255" s="424"/>
      <c r="I255" s="424"/>
      <c r="J255" s="424"/>
      <c r="K255" s="424"/>
      <c r="L255" s="424"/>
    </row>
    <row r="256" spans="1:12" ht="14.25">
      <c r="A256" s="424"/>
      <c r="B256" s="424"/>
      <c r="C256" s="424"/>
      <c r="D256" s="424"/>
      <c r="E256" s="424"/>
      <c r="F256" s="424"/>
      <c r="G256" s="424"/>
      <c r="H256" s="424"/>
      <c r="I256" s="424"/>
      <c r="J256" s="424"/>
      <c r="K256" s="424"/>
      <c r="L256" s="424"/>
    </row>
    <row r="257" spans="1:12" ht="14.25">
      <c r="A257" s="424"/>
      <c r="B257" s="424"/>
      <c r="C257" s="424"/>
      <c r="D257" s="424"/>
      <c r="E257" s="424"/>
      <c r="F257" s="424"/>
      <c r="G257" s="424"/>
      <c r="H257" s="424"/>
      <c r="I257" s="424"/>
      <c r="J257" s="424"/>
      <c r="K257" s="424"/>
      <c r="L257" s="424"/>
    </row>
    <row r="258" spans="1:12" ht="14.25">
      <c r="A258" s="424"/>
      <c r="B258" s="424"/>
      <c r="C258" s="424"/>
      <c r="D258" s="424"/>
      <c r="E258" s="424"/>
      <c r="F258" s="424"/>
      <c r="G258" s="424"/>
      <c r="H258" s="424"/>
      <c r="I258" s="424"/>
      <c r="J258" s="424"/>
      <c r="K258" s="424"/>
      <c r="L258" s="424"/>
    </row>
    <row r="259" spans="1:12" ht="14.25">
      <c r="A259" s="424"/>
      <c r="B259" s="424"/>
      <c r="C259" s="424"/>
      <c r="D259" s="424"/>
      <c r="E259" s="424"/>
      <c r="F259" s="424"/>
      <c r="G259" s="424"/>
      <c r="H259" s="424"/>
      <c r="I259" s="424"/>
      <c r="J259" s="424"/>
      <c r="K259" s="424"/>
      <c r="L259" s="424"/>
    </row>
    <row r="260" spans="1:12" ht="14.25">
      <c r="A260" s="424"/>
      <c r="B260" s="424"/>
      <c r="C260" s="424"/>
      <c r="D260" s="424"/>
      <c r="E260" s="424"/>
      <c r="F260" s="424"/>
      <c r="G260" s="424"/>
      <c r="H260" s="424"/>
      <c r="I260" s="424"/>
      <c r="J260" s="424"/>
      <c r="K260" s="424"/>
      <c r="L260" s="424"/>
    </row>
    <row r="261" spans="1:12" ht="14.25">
      <c r="A261" s="424"/>
      <c r="B261" s="424"/>
      <c r="C261" s="424"/>
      <c r="D261" s="424"/>
      <c r="E261" s="424"/>
      <c r="F261" s="424"/>
      <c r="G261" s="424"/>
      <c r="H261" s="424"/>
      <c r="I261" s="424"/>
      <c r="J261" s="424"/>
      <c r="K261" s="424"/>
      <c r="L261" s="424"/>
    </row>
    <row r="262" spans="1:12" ht="14.25">
      <c r="A262" s="424"/>
      <c r="B262" s="424"/>
      <c r="C262" s="424"/>
      <c r="D262" s="424"/>
      <c r="E262" s="424"/>
      <c r="F262" s="424"/>
      <c r="G262" s="424"/>
      <c r="H262" s="424"/>
      <c r="I262" s="424"/>
      <c r="J262" s="424"/>
      <c r="K262" s="424"/>
      <c r="L262" s="424"/>
    </row>
    <row r="263" spans="1:12" ht="14.25">
      <c r="A263" s="424"/>
      <c r="B263" s="424"/>
      <c r="C263" s="424"/>
      <c r="D263" s="424"/>
      <c r="E263" s="424"/>
      <c r="F263" s="424"/>
      <c r="G263" s="424"/>
      <c r="H263" s="424"/>
      <c r="I263" s="424"/>
      <c r="J263" s="424"/>
      <c r="K263" s="424"/>
      <c r="L263" s="424"/>
    </row>
    <row r="264" spans="1:12" ht="14.25">
      <c r="A264" s="424"/>
      <c r="B264" s="424"/>
      <c r="C264" s="424"/>
      <c r="D264" s="424"/>
      <c r="E264" s="424"/>
      <c r="F264" s="424"/>
      <c r="G264" s="424"/>
      <c r="H264" s="424"/>
      <c r="I264" s="424"/>
      <c r="J264" s="424"/>
      <c r="K264" s="424"/>
      <c r="L264" s="424"/>
    </row>
    <row r="265" spans="1:12" ht="14.25">
      <c r="A265" s="424"/>
      <c r="B265" s="424"/>
      <c r="C265" s="424"/>
      <c r="D265" s="424"/>
      <c r="E265" s="424"/>
      <c r="F265" s="424"/>
      <c r="G265" s="424"/>
      <c r="H265" s="424"/>
      <c r="I265" s="424"/>
      <c r="J265" s="424"/>
      <c r="K265" s="424"/>
      <c r="L265" s="424"/>
    </row>
    <row r="266" spans="1:12" ht="14.25">
      <c r="A266" s="424"/>
      <c r="B266" s="424"/>
      <c r="C266" s="424"/>
      <c r="D266" s="424"/>
      <c r="E266" s="424"/>
      <c r="F266" s="424"/>
      <c r="G266" s="424"/>
      <c r="H266" s="424"/>
      <c r="I266" s="424"/>
      <c r="J266" s="424"/>
      <c r="K266" s="424"/>
      <c r="L266" s="424"/>
    </row>
    <row r="267" spans="1:12" ht="14.25">
      <c r="A267" s="424"/>
      <c r="B267" s="424"/>
      <c r="C267" s="424"/>
      <c r="D267" s="424"/>
      <c r="E267" s="424"/>
      <c r="F267" s="424"/>
      <c r="G267" s="424"/>
      <c r="H267" s="424"/>
      <c r="I267" s="424"/>
      <c r="J267" s="424"/>
      <c r="K267" s="424"/>
      <c r="L267" s="424"/>
    </row>
    <row r="268" spans="1:12" ht="14.25">
      <c r="A268" s="424"/>
      <c r="B268" s="424"/>
      <c r="C268" s="424"/>
      <c r="D268" s="424"/>
      <c r="E268" s="424"/>
      <c r="F268" s="424"/>
      <c r="G268" s="424"/>
      <c r="H268" s="424"/>
      <c r="I268" s="424"/>
      <c r="J268" s="424"/>
      <c r="K268" s="424"/>
      <c r="L268" s="424"/>
    </row>
    <row r="269" spans="1:12" ht="14.25">
      <c r="A269" s="424"/>
      <c r="B269" s="424"/>
      <c r="C269" s="424"/>
      <c r="D269" s="424"/>
      <c r="E269" s="424"/>
      <c r="F269" s="424"/>
      <c r="G269" s="424"/>
      <c r="H269" s="424"/>
      <c r="I269" s="424"/>
      <c r="J269" s="424"/>
      <c r="K269" s="424"/>
      <c r="L269" s="424"/>
    </row>
    <row r="270" spans="1:12" ht="14.25">
      <c r="A270" s="424"/>
      <c r="B270" s="424"/>
      <c r="C270" s="424"/>
      <c r="D270" s="424"/>
      <c r="E270" s="424"/>
      <c r="F270" s="424"/>
      <c r="G270" s="424"/>
      <c r="H270" s="424"/>
      <c r="I270" s="424"/>
      <c r="J270" s="424"/>
      <c r="K270" s="424"/>
      <c r="L270" s="424"/>
    </row>
    <row r="271" spans="1:12" ht="14.25">
      <c r="A271" s="424"/>
      <c r="B271" s="424"/>
      <c r="C271" s="424"/>
      <c r="D271" s="424"/>
      <c r="E271" s="424"/>
      <c r="F271" s="424"/>
      <c r="G271" s="424"/>
      <c r="H271" s="424"/>
      <c r="I271" s="424"/>
      <c r="J271" s="424"/>
      <c r="K271" s="424"/>
      <c r="L271" s="424"/>
    </row>
    <row r="272" spans="1:12" ht="14.25">
      <c r="A272" s="424"/>
      <c r="B272" s="424"/>
      <c r="C272" s="424"/>
      <c r="D272" s="424"/>
      <c r="E272" s="424"/>
      <c r="F272" s="424"/>
      <c r="G272" s="424"/>
      <c r="H272" s="424"/>
      <c r="I272" s="424"/>
      <c r="J272" s="424"/>
      <c r="K272" s="424"/>
      <c r="L272" s="424"/>
    </row>
    <row r="273" spans="1:12" ht="14.25">
      <c r="A273" s="424"/>
      <c r="B273" s="424"/>
      <c r="C273" s="424"/>
      <c r="D273" s="424"/>
      <c r="E273" s="424"/>
      <c r="F273" s="424"/>
      <c r="G273" s="424"/>
      <c r="H273" s="424"/>
      <c r="I273" s="424"/>
      <c r="J273" s="424"/>
      <c r="K273" s="424"/>
      <c r="L273" s="424"/>
    </row>
    <row r="274" spans="1:12" ht="14.25">
      <c r="A274" s="424"/>
      <c r="B274" s="424"/>
      <c r="C274" s="424"/>
      <c r="D274" s="424"/>
      <c r="E274" s="424"/>
      <c r="F274" s="424"/>
      <c r="G274" s="424"/>
      <c r="H274" s="424"/>
      <c r="I274" s="424"/>
      <c r="J274" s="424"/>
      <c r="K274" s="424"/>
      <c r="L274" s="424"/>
    </row>
    <row r="275" spans="1:12" ht="14.25">
      <c r="A275" s="424"/>
      <c r="B275" s="424"/>
      <c r="C275" s="424"/>
      <c r="D275" s="424"/>
      <c r="E275" s="424"/>
      <c r="F275" s="424"/>
      <c r="G275" s="424"/>
      <c r="H275" s="424"/>
      <c r="I275" s="424"/>
      <c r="J275" s="424"/>
      <c r="K275" s="424"/>
      <c r="L275" s="424"/>
    </row>
    <row r="276" spans="1:12" ht="14.25">
      <c r="A276" s="424"/>
      <c r="B276" s="424"/>
      <c r="C276" s="424"/>
      <c r="D276" s="424"/>
      <c r="E276" s="424"/>
      <c r="F276" s="424"/>
      <c r="G276" s="424"/>
      <c r="H276" s="424"/>
      <c r="I276" s="424"/>
      <c r="J276" s="424"/>
      <c r="K276" s="424"/>
      <c r="L276" s="424"/>
    </row>
    <row r="277" spans="1:12" ht="14.25">
      <c r="A277" s="424"/>
      <c r="B277" s="424"/>
      <c r="C277" s="424"/>
      <c r="D277" s="424"/>
      <c r="E277" s="424"/>
      <c r="F277" s="424"/>
      <c r="G277" s="424"/>
      <c r="H277" s="424"/>
      <c r="I277" s="424"/>
      <c r="J277" s="424"/>
      <c r="K277" s="424"/>
      <c r="L277" s="424"/>
    </row>
    <row r="278" spans="1:12" ht="14.25">
      <c r="A278" s="424"/>
      <c r="B278" s="424"/>
      <c r="C278" s="424"/>
      <c r="D278" s="424"/>
      <c r="E278" s="424"/>
      <c r="F278" s="424"/>
      <c r="G278" s="424"/>
      <c r="H278" s="424"/>
      <c r="I278" s="424"/>
      <c r="J278" s="424"/>
      <c r="K278" s="424"/>
      <c r="L278" s="424"/>
    </row>
    <row r="279" spans="1:12" ht="14.25">
      <c r="A279" s="424"/>
      <c r="B279" s="424"/>
      <c r="C279" s="424"/>
      <c r="D279" s="424"/>
      <c r="E279" s="424"/>
      <c r="F279" s="424"/>
      <c r="G279" s="424"/>
      <c r="H279" s="424"/>
      <c r="I279" s="424"/>
      <c r="J279" s="424"/>
      <c r="K279" s="424"/>
      <c r="L279" s="424"/>
    </row>
    <row r="280" spans="1:12" ht="14.25">
      <c r="A280" s="424"/>
      <c r="B280" s="424"/>
      <c r="C280" s="424"/>
      <c r="D280" s="424"/>
      <c r="E280" s="424"/>
      <c r="F280" s="424"/>
      <c r="G280" s="424"/>
      <c r="H280" s="424"/>
      <c r="I280" s="424"/>
      <c r="J280" s="424"/>
      <c r="K280" s="424"/>
      <c r="L280" s="424"/>
    </row>
    <row r="281" spans="1:12" ht="14.25">
      <c r="A281" s="424"/>
      <c r="B281" s="424"/>
      <c r="C281" s="424"/>
      <c r="D281" s="424"/>
      <c r="E281" s="424"/>
      <c r="F281" s="424"/>
      <c r="G281" s="424"/>
      <c r="H281" s="424"/>
      <c r="I281" s="424"/>
      <c r="J281" s="424"/>
      <c r="K281" s="424"/>
      <c r="L281" s="424"/>
    </row>
    <row r="282" spans="1:12" ht="14.25">
      <c r="A282" s="424"/>
      <c r="B282" s="424"/>
      <c r="C282" s="424"/>
      <c r="D282" s="424"/>
      <c r="E282" s="424"/>
      <c r="F282" s="424"/>
      <c r="G282" s="424"/>
      <c r="H282" s="424"/>
      <c r="I282" s="424"/>
      <c r="J282" s="424"/>
      <c r="K282" s="424"/>
      <c r="L282" s="424"/>
    </row>
    <row r="283" spans="1:12" ht="14.25">
      <c r="A283" s="424"/>
      <c r="B283" s="424"/>
      <c r="C283" s="424"/>
      <c r="D283" s="424"/>
      <c r="E283" s="424"/>
      <c r="F283" s="424"/>
      <c r="G283" s="424"/>
      <c r="H283" s="424"/>
      <c r="I283" s="424"/>
      <c r="J283" s="424"/>
      <c r="K283" s="424"/>
      <c r="L283" s="424"/>
    </row>
    <row r="284" spans="1:12" ht="14.25">
      <c r="A284" s="424"/>
      <c r="B284" s="424"/>
      <c r="C284" s="424"/>
      <c r="D284" s="424"/>
      <c r="E284" s="424"/>
      <c r="F284" s="424"/>
      <c r="G284" s="424"/>
      <c r="H284" s="424"/>
      <c r="I284" s="424"/>
      <c r="J284" s="424"/>
      <c r="K284" s="424"/>
      <c r="L284" s="424"/>
    </row>
    <row r="285" spans="1:12" ht="14.25">
      <c r="A285" s="424"/>
      <c r="B285" s="424"/>
      <c r="C285" s="424"/>
      <c r="D285" s="424"/>
      <c r="E285" s="424"/>
      <c r="F285" s="424"/>
      <c r="G285" s="424"/>
      <c r="H285" s="424"/>
      <c r="I285" s="424"/>
      <c r="J285" s="424"/>
      <c r="K285" s="424"/>
      <c r="L285" s="424"/>
    </row>
    <row r="286" spans="1:12" ht="14.25">
      <c r="A286" s="424"/>
      <c r="B286" s="424"/>
      <c r="C286" s="424"/>
      <c r="D286" s="424"/>
      <c r="E286" s="424"/>
      <c r="F286" s="424"/>
      <c r="G286" s="424"/>
      <c r="H286" s="424"/>
      <c r="I286" s="424"/>
      <c r="J286" s="424"/>
      <c r="K286" s="424"/>
      <c r="L286" s="424"/>
    </row>
    <row r="287" spans="1:12" ht="14.25">
      <c r="A287" s="424"/>
      <c r="B287" s="424"/>
      <c r="C287" s="424"/>
      <c r="D287" s="424"/>
      <c r="E287" s="424"/>
      <c r="F287" s="424"/>
      <c r="G287" s="424"/>
      <c r="H287" s="424"/>
      <c r="I287" s="424"/>
      <c r="J287" s="424"/>
      <c r="K287" s="424"/>
      <c r="L287" s="424"/>
    </row>
    <row r="288" spans="1:12" ht="14.25">
      <c r="A288" s="424"/>
      <c r="B288" s="424"/>
      <c r="C288" s="424"/>
      <c r="D288" s="424"/>
      <c r="E288" s="424"/>
      <c r="F288" s="424"/>
      <c r="G288" s="424"/>
      <c r="H288" s="424"/>
      <c r="I288" s="424"/>
      <c r="J288" s="424"/>
      <c r="K288" s="424"/>
      <c r="L288" s="424"/>
    </row>
    <row r="289" spans="1:12" ht="14.25">
      <c r="A289" s="424"/>
      <c r="B289" s="424"/>
      <c r="C289" s="424"/>
      <c r="D289" s="424"/>
      <c r="E289" s="424"/>
      <c r="F289" s="424"/>
      <c r="G289" s="424"/>
      <c r="H289" s="424"/>
      <c r="I289" s="424"/>
      <c r="J289" s="424"/>
      <c r="K289" s="424"/>
      <c r="L289" s="424"/>
    </row>
    <row r="290" spans="1:12" ht="14.25">
      <c r="A290" s="424"/>
      <c r="B290" s="424"/>
      <c r="C290" s="424"/>
      <c r="D290" s="424"/>
      <c r="E290" s="424"/>
      <c r="F290" s="424"/>
      <c r="G290" s="424"/>
      <c r="H290" s="424"/>
      <c r="I290" s="424"/>
      <c r="J290" s="424"/>
      <c r="K290" s="424"/>
      <c r="L290" s="424"/>
    </row>
    <row r="291" spans="1:12" ht="14.25">
      <c r="A291" s="424"/>
      <c r="B291" s="424"/>
      <c r="C291" s="424"/>
      <c r="D291" s="424"/>
      <c r="E291" s="424"/>
      <c r="F291" s="424"/>
      <c r="G291" s="424"/>
      <c r="H291" s="424"/>
      <c r="I291" s="424"/>
      <c r="J291" s="424"/>
      <c r="K291" s="424"/>
      <c r="L291" s="424"/>
    </row>
    <row r="292" spans="1:12" ht="14.25">
      <c r="A292" s="424"/>
      <c r="B292" s="424"/>
      <c r="C292" s="424"/>
      <c r="D292" s="424"/>
      <c r="E292" s="424"/>
      <c r="F292" s="424"/>
      <c r="G292" s="424"/>
      <c r="H292" s="424"/>
      <c r="I292" s="424"/>
      <c r="J292" s="424"/>
      <c r="K292" s="424"/>
      <c r="L292" s="424"/>
    </row>
    <row r="293" spans="1:12" ht="14.25">
      <c r="A293" s="424"/>
      <c r="B293" s="424"/>
      <c r="C293" s="424"/>
      <c r="D293" s="424"/>
      <c r="E293" s="424"/>
      <c r="F293" s="424"/>
      <c r="G293" s="424"/>
      <c r="H293" s="424"/>
      <c r="I293" s="424"/>
      <c r="J293" s="424"/>
      <c r="K293" s="424"/>
      <c r="L293" s="424"/>
    </row>
    <row r="294" spans="1:12" ht="14.25">
      <c r="A294" s="424"/>
      <c r="B294" s="424"/>
      <c r="C294" s="424"/>
      <c r="D294" s="424"/>
      <c r="E294" s="424"/>
      <c r="F294" s="424"/>
      <c r="G294" s="424"/>
      <c r="H294" s="424"/>
      <c r="I294" s="424"/>
      <c r="J294" s="424"/>
      <c r="K294" s="424"/>
      <c r="L294" s="424"/>
    </row>
    <row r="295" spans="1:12" ht="14.25">
      <c r="A295" s="424"/>
      <c r="B295" s="424"/>
      <c r="C295" s="424"/>
      <c r="D295" s="424"/>
      <c r="E295" s="424"/>
      <c r="F295" s="424"/>
      <c r="G295" s="424"/>
      <c r="H295" s="424"/>
      <c r="I295" s="424"/>
      <c r="J295" s="424"/>
      <c r="K295" s="424"/>
      <c r="L295" s="424"/>
    </row>
    <row r="296" spans="1:12" ht="14.25">
      <c r="A296" s="424"/>
      <c r="B296" s="424"/>
      <c r="C296" s="424"/>
      <c r="D296" s="424"/>
      <c r="E296" s="424"/>
      <c r="F296" s="424"/>
      <c r="G296" s="424"/>
      <c r="H296" s="424"/>
      <c r="I296" s="424"/>
      <c r="J296" s="424"/>
      <c r="K296" s="424"/>
      <c r="L296" s="424"/>
    </row>
    <row r="297" spans="1:12" ht="14.25">
      <c r="A297" s="424"/>
      <c r="B297" s="424"/>
      <c r="C297" s="424"/>
      <c r="D297" s="424"/>
      <c r="E297" s="424"/>
      <c r="F297" s="424"/>
      <c r="G297" s="424"/>
      <c r="H297" s="424"/>
      <c r="I297" s="424"/>
      <c r="J297" s="424"/>
      <c r="K297" s="424"/>
      <c r="L297" s="424"/>
    </row>
    <row r="298" spans="1:12" ht="14.25">
      <c r="A298" s="424"/>
      <c r="B298" s="424"/>
      <c r="C298" s="424"/>
      <c r="D298" s="424"/>
      <c r="E298" s="424"/>
      <c r="F298" s="424"/>
      <c r="G298" s="424"/>
      <c r="H298" s="424"/>
      <c r="I298" s="424"/>
      <c r="J298" s="424"/>
      <c r="K298" s="424"/>
      <c r="L298" s="424"/>
    </row>
    <row r="299" spans="1:12" ht="14.25">
      <c r="A299" s="424"/>
      <c r="B299" s="424"/>
      <c r="C299" s="424"/>
      <c r="D299" s="424"/>
      <c r="E299" s="424"/>
      <c r="F299" s="424"/>
      <c r="G299" s="424"/>
      <c r="H299" s="424"/>
      <c r="I299" s="424"/>
      <c r="J299" s="424"/>
      <c r="K299" s="424"/>
      <c r="L299" s="424"/>
    </row>
    <row r="300" spans="1:12" ht="14.25">
      <c r="A300" s="424"/>
      <c r="B300" s="424"/>
      <c r="C300" s="424"/>
      <c r="D300" s="424"/>
      <c r="E300" s="424"/>
      <c r="F300" s="424"/>
      <c r="G300" s="424"/>
      <c r="H300" s="424"/>
      <c r="I300" s="424"/>
      <c r="J300" s="424"/>
      <c r="K300" s="424"/>
      <c r="L300" s="424"/>
    </row>
    <row r="301" spans="1:12" ht="14.25">
      <c r="A301" s="424"/>
      <c r="B301" s="424"/>
      <c r="C301" s="424"/>
      <c r="D301" s="424"/>
      <c r="E301" s="424"/>
      <c r="F301" s="424"/>
      <c r="G301" s="424"/>
      <c r="H301" s="424"/>
      <c r="I301" s="424"/>
      <c r="J301" s="424"/>
      <c r="K301" s="424"/>
      <c r="L301" s="424"/>
    </row>
    <row r="302" spans="1:12" ht="14.25">
      <c r="A302" s="424"/>
      <c r="B302" s="424"/>
      <c r="C302" s="424"/>
      <c r="D302" s="424"/>
      <c r="E302" s="424"/>
      <c r="F302" s="424"/>
      <c r="G302" s="424"/>
      <c r="H302" s="424"/>
      <c r="I302" s="424"/>
      <c r="J302" s="424"/>
      <c r="K302" s="424"/>
      <c r="L302" s="424"/>
    </row>
    <row r="303" spans="1:12" ht="14.25">
      <c r="A303" s="424"/>
      <c r="B303" s="424"/>
      <c r="C303" s="424"/>
      <c r="D303" s="424"/>
      <c r="E303" s="424"/>
      <c r="F303" s="424"/>
      <c r="G303" s="424"/>
      <c r="H303" s="424"/>
      <c r="I303" s="424"/>
      <c r="J303" s="424"/>
      <c r="K303" s="424"/>
      <c r="L303" s="424"/>
    </row>
    <row r="304" spans="1:12" ht="14.25">
      <c r="A304" s="424"/>
      <c r="B304" s="424"/>
      <c r="C304" s="424"/>
      <c r="D304" s="424"/>
      <c r="E304" s="424"/>
      <c r="F304" s="424"/>
      <c r="G304" s="424"/>
      <c r="H304" s="424"/>
      <c r="I304" s="424"/>
      <c r="J304" s="424"/>
      <c r="K304" s="424"/>
      <c r="L304" s="424"/>
    </row>
    <row r="305" spans="1:12" ht="14.25">
      <c r="A305" s="424"/>
      <c r="B305" s="424"/>
      <c r="C305" s="424"/>
      <c r="D305" s="424"/>
      <c r="E305" s="424"/>
      <c r="F305" s="424"/>
      <c r="G305" s="424"/>
      <c r="H305" s="424"/>
      <c r="I305" s="424"/>
      <c r="J305" s="424"/>
      <c r="K305" s="424"/>
      <c r="L305" s="424"/>
    </row>
    <row r="306" spans="1:12" ht="14.25">
      <c r="A306" s="424"/>
      <c r="B306" s="424"/>
      <c r="C306" s="424"/>
      <c r="D306" s="424"/>
      <c r="E306" s="424"/>
      <c r="F306" s="424"/>
      <c r="G306" s="424"/>
      <c r="H306" s="424"/>
      <c r="I306" s="424"/>
      <c r="J306" s="424"/>
      <c r="K306" s="424"/>
      <c r="L306" s="424"/>
    </row>
    <row r="307" spans="1:12" ht="14.25">
      <c r="A307" s="424"/>
      <c r="B307" s="424"/>
      <c r="C307" s="424"/>
      <c r="D307" s="424"/>
      <c r="E307" s="424"/>
      <c r="F307" s="424"/>
      <c r="G307" s="424"/>
      <c r="H307" s="424"/>
      <c r="I307" s="424"/>
      <c r="J307" s="424"/>
      <c r="K307" s="424"/>
      <c r="L307" s="424"/>
    </row>
    <row r="308" spans="1:12" ht="14.25">
      <c r="A308" s="424"/>
      <c r="B308" s="424"/>
      <c r="C308" s="424"/>
      <c r="D308" s="424"/>
      <c r="E308" s="424"/>
      <c r="F308" s="424"/>
      <c r="G308" s="424"/>
      <c r="H308" s="424"/>
      <c r="I308" s="424"/>
      <c r="J308" s="424"/>
      <c r="K308" s="424"/>
      <c r="L308" s="424"/>
    </row>
    <row r="309" spans="1:12" ht="14.25">
      <c r="A309" s="424"/>
      <c r="B309" s="424"/>
      <c r="C309" s="424"/>
      <c r="D309" s="424"/>
      <c r="E309" s="424"/>
      <c r="F309" s="424"/>
      <c r="G309" s="424"/>
      <c r="H309" s="424"/>
      <c r="I309" s="424"/>
      <c r="J309" s="424"/>
      <c r="K309" s="424"/>
      <c r="L309" s="424"/>
    </row>
    <row r="310" spans="1:12" ht="14.25">
      <c r="A310" s="424"/>
      <c r="B310" s="424"/>
      <c r="C310" s="424"/>
      <c r="D310" s="424"/>
      <c r="E310" s="424"/>
      <c r="F310" s="424"/>
      <c r="G310" s="424"/>
      <c r="H310" s="424"/>
      <c r="I310" s="424"/>
      <c r="J310" s="424"/>
      <c r="K310" s="424"/>
      <c r="L310" s="424"/>
    </row>
    <row r="311" spans="1:12" ht="14.25">
      <c r="A311" s="424"/>
      <c r="B311" s="424"/>
      <c r="C311" s="424"/>
      <c r="D311" s="424"/>
      <c r="E311" s="424"/>
      <c r="F311" s="424"/>
      <c r="G311" s="424"/>
      <c r="H311" s="424"/>
      <c r="I311" s="424"/>
      <c r="J311" s="424"/>
      <c r="K311" s="424"/>
      <c r="L311" s="424"/>
    </row>
    <row r="312" spans="1:12" ht="14.25">
      <c r="A312" s="424"/>
      <c r="B312" s="424"/>
      <c r="C312" s="424"/>
      <c r="D312" s="424"/>
      <c r="E312" s="424"/>
      <c r="F312" s="424"/>
      <c r="G312" s="424"/>
      <c r="H312" s="424"/>
      <c r="I312" s="424"/>
      <c r="J312" s="424"/>
      <c r="K312" s="424"/>
      <c r="L312" s="424"/>
    </row>
    <row r="313" spans="1:12" ht="14.25">
      <c r="A313" s="424"/>
      <c r="B313" s="424"/>
      <c r="C313" s="424"/>
      <c r="D313" s="424"/>
      <c r="E313" s="424"/>
      <c r="F313" s="424"/>
      <c r="G313" s="424"/>
      <c r="H313" s="424"/>
      <c r="I313" s="424"/>
      <c r="J313" s="424"/>
      <c r="K313" s="424"/>
      <c r="L313" s="424"/>
    </row>
    <row r="314" spans="1:12" ht="14.25">
      <c r="A314" s="424"/>
      <c r="B314" s="424"/>
      <c r="C314" s="424"/>
      <c r="D314" s="424"/>
      <c r="E314" s="424"/>
      <c r="F314" s="424"/>
      <c r="G314" s="424"/>
      <c r="H314" s="424"/>
      <c r="I314" s="424"/>
      <c r="J314" s="424"/>
      <c r="K314" s="424"/>
      <c r="L314" s="424"/>
    </row>
    <row r="315" spans="1:12" ht="14.25">
      <c r="A315" s="424"/>
      <c r="B315" s="424"/>
      <c r="C315" s="424"/>
      <c r="D315" s="424"/>
      <c r="E315" s="424"/>
      <c r="F315" s="424"/>
      <c r="G315" s="424"/>
      <c r="H315" s="424"/>
      <c r="I315" s="424"/>
      <c r="J315" s="424"/>
      <c r="K315" s="424"/>
      <c r="L315" s="424"/>
    </row>
    <row r="316" spans="1:12" ht="14.25">
      <c r="A316" s="424"/>
      <c r="B316" s="424"/>
      <c r="C316" s="424"/>
      <c r="D316" s="424"/>
      <c r="E316" s="424"/>
      <c r="F316" s="424"/>
      <c r="G316" s="424"/>
      <c r="H316" s="424"/>
      <c r="I316" s="424"/>
      <c r="J316" s="424"/>
      <c r="K316" s="424"/>
      <c r="L316" s="424"/>
    </row>
    <row r="317" spans="1:12" ht="14.25">
      <c r="A317" s="424"/>
      <c r="B317" s="424"/>
      <c r="C317" s="424"/>
      <c r="D317" s="424"/>
      <c r="E317" s="424"/>
      <c r="F317" s="424"/>
      <c r="G317" s="424"/>
      <c r="H317" s="424"/>
      <c r="I317" s="424"/>
      <c r="J317" s="424"/>
      <c r="K317" s="424"/>
      <c r="L317" s="424"/>
    </row>
    <row r="318" spans="1:12" ht="14.25">
      <c r="A318" s="424"/>
      <c r="B318" s="424"/>
      <c r="C318" s="424"/>
      <c r="D318" s="424"/>
      <c r="E318" s="424"/>
      <c r="F318" s="424"/>
      <c r="G318" s="424"/>
      <c r="H318" s="424"/>
      <c r="I318" s="424"/>
      <c r="J318" s="424"/>
      <c r="K318" s="424"/>
      <c r="L318" s="424"/>
    </row>
    <row r="319" spans="1:12" ht="14.25">
      <c r="A319" s="424"/>
      <c r="B319" s="424"/>
      <c r="C319" s="424"/>
      <c r="D319" s="424"/>
      <c r="E319" s="424"/>
      <c r="F319" s="424"/>
      <c r="G319" s="424"/>
      <c r="H319" s="424"/>
      <c r="I319" s="424"/>
      <c r="J319" s="424"/>
      <c r="K319" s="424"/>
      <c r="L319" s="424"/>
    </row>
    <row r="320" spans="1:12" ht="14.25">
      <c r="A320" s="424"/>
      <c r="B320" s="424"/>
      <c r="C320" s="424"/>
      <c r="D320" s="424"/>
      <c r="E320" s="424"/>
      <c r="F320" s="424"/>
      <c r="G320" s="424"/>
      <c r="H320" s="424"/>
      <c r="I320" s="424"/>
      <c r="J320" s="424"/>
      <c r="K320" s="424"/>
      <c r="L320" s="424"/>
    </row>
    <row r="321" spans="1:12" ht="14.25">
      <c r="A321" s="424"/>
      <c r="B321" s="424"/>
      <c r="C321" s="424"/>
      <c r="D321" s="424"/>
      <c r="E321" s="424"/>
      <c r="F321" s="424"/>
      <c r="G321" s="424"/>
      <c r="H321" s="424"/>
      <c r="I321" s="424"/>
      <c r="J321" s="424"/>
      <c r="K321" s="424"/>
      <c r="L321" s="424"/>
    </row>
    <row r="322" spans="1:12" ht="14.25">
      <c r="A322" s="424"/>
      <c r="B322" s="424"/>
      <c r="C322" s="424"/>
      <c r="D322" s="424"/>
      <c r="E322" s="424"/>
      <c r="F322" s="424"/>
      <c r="G322" s="424"/>
      <c r="H322" s="424"/>
      <c r="I322" s="424"/>
      <c r="J322" s="424"/>
      <c r="K322" s="424"/>
      <c r="L322" s="424"/>
    </row>
    <row r="323" spans="1:12" ht="14.25">
      <c r="A323" s="424"/>
      <c r="B323" s="424"/>
      <c r="C323" s="424"/>
      <c r="D323" s="424"/>
      <c r="E323" s="424"/>
      <c r="F323" s="424"/>
      <c r="G323" s="424"/>
      <c r="H323" s="424"/>
      <c r="I323" s="424"/>
      <c r="J323" s="424"/>
      <c r="K323" s="424"/>
      <c r="L323" s="424"/>
    </row>
    <row r="324" spans="1:12" ht="14.25">
      <c r="A324" s="424"/>
      <c r="B324" s="424"/>
      <c r="C324" s="424"/>
      <c r="D324" s="424"/>
      <c r="E324" s="424"/>
      <c r="F324" s="424"/>
      <c r="G324" s="424"/>
      <c r="H324" s="424"/>
      <c r="I324" s="424"/>
      <c r="J324" s="424"/>
      <c r="K324" s="424"/>
      <c r="L324" s="424"/>
    </row>
    <row r="325" spans="1:12" ht="14.25">
      <c r="A325" s="424"/>
      <c r="B325" s="424"/>
      <c r="C325" s="424"/>
      <c r="D325" s="424"/>
      <c r="E325" s="424"/>
      <c r="F325" s="424"/>
      <c r="G325" s="424"/>
      <c r="H325" s="424"/>
      <c r="I325" s="424"/>
      <c r="J325" s="424"/>
      <c r="K325" s="424"/>
      <c r="L325" s="424"/>
    </row>
    <row r="326" spans="1:12" ht="14.25">
      <c r="A326" s="424"/>
      <c r="B326" s="424"/>
      <c r="C326" s="424"/>
      <c r="D326" s="424"/>
      <c r="E326" s="424"/>
      <c r="F326" s="424"/>
      <c r="G326" s="424"/>
      <c r="H326" s="424"/>
      <c r="I326" s="424"/>
      <c r="J326" s="424"/>
      <c r="K326" s="424"/>
      <c r="L326" s="424"/>
    </row>
    <row r="327" spans="1:12" ht="14.25">
      <c r="A327" s="424"/>
      <c r="B327" s="424"/>
      <c r="C327" s="424"/>
      <c r="D327" s="424"/>
      <c r="E327" s="424"/>
      <c r="F327" s="424"/>
      <c r="G327" s="424"/>
      <c r="H327" s="424"/>
      <c r="I327" s="424"/>
      <c r="J327" s="424"/>
      <c r="K327" s="424"/>
      <c r="L327" s="424"/>
    </row>
    <row r="328" spans="1:12" ht="14.25">
      <c r="A328" s="424"/>
      <c r="B328" s="424"/>
      <c r="C328" s="424"/>
      <c r="D328" s="424"/>
      <c r="E328" s="424"/>
      <c r="F328" s="424"/>
      <c r="G328" s="424"/>
      <c r="H328" s="424"/>
      <c r="I328" s="424"/>
      <c r="J328" s="424"/>
      <c r="K328" s="424"/>
      <c r="L328" s="424"/>
    </row>
    <row r="329" spans="1:12" ht="14.25">
      <c r="A329" s="424"/>
      <c r="B329" s="424"/>
      <c r="C329" s="424"/>
      <c r="D329" s="424"/>
      <c r="E329" s="424"/>
      <c r="F329" s="424"/>
      <c r="G329" s="424"/>
      <c r="H329" s="424"/>
      <c r="I329" s="424"/>
      <c r="J329" s="424"/>
      <c r="K329" s="424"/>
      <c r="L329" s="424"/>
    </row>
    <row r="330" spans="1:12" ht="14.25">
      <c r="A330" s="424"/>
      <c r="B330" s="424"/>
      <c r="C330" s="424"/>
      <c r="D330" s="424"/>
      <c r="E330" s="424"/>
      <c r="F330" s="424"/>
      <c r="G330" s="424"/>
      <c r="H330" s="424"/>
      <c r="I330" s="424"/>
      <c r="J330" s="424"/>
      <c r="K330" s="424"/>
      <c r="L330" s="424"/>
    </row>
    <row r="331" spans="1:12" ht="14.25">
      <c r="A331" s="424"/>
      <c r="B331" s="424"/>
      <c r="C331" s="424"/>
      <c r="D331" s="424"/>
      <c r="E331" s="424"/>
      <c r="F331" s="424"/>
      <c r="G331" s="424"/>
      <c r="H331" s="424"/>
      <c r="I331" s="424"/>
      <c r="J331" s="424"/>
      <c r="K331" s="424"/>
      <c r="L331" s="424"/>
    </row>
    <row r="332" spans="1:12" ht="14.25">
      <c r="A332" s="424"/>
      <c r="B332" s="424"/>
      <c r="C332" s="424"/>
      <c r="D332" s="424"/>
      <c r="E332" s="424"/>
      <c r="F332" s="424"/>
      <c r="G332" s="424"/>
      <c r="H332" s="424"/>
      <c r="I332" s="424"/>
      <c r="J332" s="424"/>
      <c r="K332" s="424"/>
      <c r="L332" s="424"/>
    </row>
    <row r="333" spans="1:12" ht="14.25">
      <c r="A333" s="424"/>
      <c r="B333" s="424"/>
      <c r="C333" s="424"/>
      <c r="D333" s="424"/>
      <c r="E333" s="424"/>
      <c r="F333" s="424"/>
      <c r="G333" s="424"/>
      <c r="H333" s="424"/>
      <c r="I333" s="424"/>
      <c r="J333" s="424"/>
      <c r="K333" s="424"/>
      <c r="L333" s="424"/>
    </row>
    <row r="334" spans="1:12" ht="14.25">
      <c r="A334" s="424"/>
      <c r="B334" s="424"/>
      <c r="C334" s="424"/>
      <c r="D334" s="424"/>
      <c r="E334" s="424"/>
      <c r="F334" s="424"/>
      <c r="G334" s="424"/>
      <c r="H334" s="424"/>
      <c r="I334" s="424"/>
      <c r="J334" s="424"/>
      <c r="K334" s="424"/>
      <c r="L334" s="424"/>
    </row>
    <row r="335" spans="1:12" ht="14.25">
      <c r="A335" s="424"/>
      <c r="B335" s="424"/>
      <c r="C335" s="424"/>
      <c r="D335" s="424"/>
      <c r="E335" s="424"/>
      <c r="F335" s="424"/>
      <c r="G335" s="424"/>
      <c r="H335" s="424"/>
      <c r="I335" s="424"/>
      <c r="J335" s="424"/>
      <c r="K335" s="424"/>
      <c r="L335" s="424"/>
    </row>
    <row r="336" spans="1:12" ht="14.25">
      <c r="A336" s="424"/>
      <c r="B336" s="424"/>
      <c r="C336" s="424"/>
      <c r="D336" s="424"/>
      <c r="E336" s="424"/>
      <c r="F336" s="424"/>
      <c r="G336" s="424"/>
      <c r="H336" s="424"/>
      <c r="I336" s="424"/>
      <c r="J336" s="424"/>
      <c r="K336" s="424"/>
      <c r="L336" s="424"/>
    </row>
    <row r="337" spans="1:12" ht="14.25">
      <c r="A337" s="424"/>
      <c r="B337" s="424"/>
      <c r="C337" s="424"/>
      <c r="D337" s="424"/>
      <c r="E337" s="424"/>
      <c r="F337" s="424"/>
      <c r="G337" s="424"/>
      <c r="H337" s="424"/>
      <c r="I337" s="424"/>
      <c r="J337" s="424"/>
      <c r="K337" s="424"/>
      <c r="L337" s="424"/>
    </row>
    <row r="338" spans="1:12" ht="14.25">
      <c r="A338" s="424"/>
      <c r="B338" s="424"/>
      <c r="C338" s="424"/>
      <c r="D338" s="424"/>
      <c r="E338" s="424"/>
      <c r="F338" s="424"/>
      <c r="G338" s="424"/>
      <c r="H338" s="424"/>
      <c r="I338" s="424"/>
      <c r="J338" s="424"/>
      <c r="K338" s="424"/>
      <c r="L338" s="424"/>
    </row>
    <row r="339" spans="1:12" ht="14.25">
      <c r="A339" s="424"/>
      <c r="B339" s="424"/>
      <c r="C339" s="424"/>
      <c r="D339" s="424"/>
      <c r="E339" s="424"/>
      <c r="F339" s="424"/>
      <c r="G339" s="424"/>
      <c r="H339" s="424"/>
      <c r="I339" s="424"/>
      <c r="J339" s="424"/>
      <c r="K339" s="424"/>
      <c r="L339" s="424"/>
    </row>
    <row r="340" spans="1:12" ht="14.25">
      <c r="A340" s="424"/>
      <c r="B340" s="424"/>
      <c r="C340" s="424"/>
      <c r="D340" s="424"/>
      <c r="E340" s="424"/>
      <c r="F340" s="424"/>
      <c r="G340" s="424"/>
      <c r="H340" s="424"/>
      <c r="I340" s="424"/>
      <c r="J340" s="424"/>
      <c r="K340" s="424"/>
      <c r="L340" s="424"/>
    </row>
    <row r="341" spans="1:12" ht="14.25">
      <c r="A341" s="424"/>
      <c r="B341" s="424"/>
      <c r="C341" s="424"/>
      <c r="D341" s="424"/>
      <c r="E341" s="424"/>
      <c r="F341" s="424"/>
      <c r="G341" s="424"/>
      <c r="H341" s="424"/>
      <c r="I341" s="424"/>
      <c r="J341" s="424"/>
      <c r="K341" s="424"/>
      <c r="L341" s="424"/>
    </row>
    <row r="342" spans="1:12" ht="14.25">
      <c r="A342" s="424"/>
      <c r="B342" s="424"/>
      <c r="C342" s="424"/>
      <c r="D342" s="424"/>
      <c r="E342" s="424"/>
      <c r="F342" s="424"/>
      <c r="G342" s="424"/>
      <c r="H342" s="424"/>
      <c r="I342" s="424"/>
      <c r="J342" s="424"/>
      <c r="K342" s="424"/>
      <c r="L342" s="424"/>
    </row>
    <row r="343" spans="1:12" ht="14.25">
      <c r="A343" s="424"/>
      <c r="B343" s="424"/>
      <c r="C343" s="424"/>
      <c r="D343" s="424"/>
      <c r="E343" s="424"/>
      <c r="F343" s="424"/>
      <c r="G343" s="424"/>
      <c r="H343" s="424"/>
      <c r="I343" s="424"/>
      <c r="J343" s="424"/>
      <c r="K343" s="424"/>
      <c r="L343" s="424"/>
    </row>
    <row r="344" spans="1:12" ht="14.25">
      <c r="A344" s="424"/>
      <c r="B344" s="424"/>
      <c r="C344" s="424"/>
      <c r="D344" s="424"/>
      <c r="E344" s="424"/>
      <c r="F344" s="424"/>
      <c r="G344" s="424"/>
      <c r="H344" s="424"/>
      <c r="I344" s="424"/>
      <c r="J344" s="424"/>
      <c r="K344" s="424"/>
      <c r="L344" s="424"/>
    </row>
    <row r="345" spans="1:12" ht="14.25">
      <c r="A345" s="424"/>
      <c r="B345" s="424"/>
      <c r="C345" s="424"/>
      <c r="D345" s="424"/>
      <c r="E345" s="424"/>
      <c r="F345" s="424"/>
      <c r="G345" s="424"/>
      <c r="H345" s="424"/>
      <c r="I345" s="424"/>
      <c r="J345" s="424"/>
      <c r="K345" s="424"/>
      <c r="L345" s="424"/>
    </row>
    <row r="346" spans="1:12" ht="14.25">
      <c r="A346" s="424"/>
      <c r="B346" s="424"/>
      <c r="C346" s="424"/>
      <c r="D346" s="424"/>
      <c r="E346" s="424"/>
      <c r="F346" s="424"/>
      <c r="G346" s="424"/>
      <c r="H346" s="424"/>
      <c r="I346" s="424"/>
      <c r="J346" s="424"/>
      <c r="K346" s="424"/>
      <c r="L346" s="424"/>
    </row>
    <row r="347" spans="1:12" ht="14.25">
      <c r="A347" s="424"/>
      <c r="B347" s="424"/>
      <c r="C347" s="424"/>
      <c r="D347" s="424"/>
      <c r="E347" s="424"/>
      <c r="F347" s="424"/>
      <c r="G347" s="424"/>
      <c r="H347" s="424"/>
      <c r="I347" s="424"/>
      <c r="J347" s="424"/>
      <c r="K347" s="424"/>
      <c r="L347" s="424"/>
    </row>
    <row r="348" spans="1:12" ht="14.25">
      <c r="A348" s="424"/>
      <c r="B348" s="424"/>
      <c r="C348" s="424"/>
      <c r="D348" s="424"/>
      <c r="E348" s="424"/>
      <c r="F348" s="424"/>
      <c r="G348" s="424"/>
      <c r="H348" s="424"/>
      <c r="I348" s="424"/>
      <c r="J348" s="424"/>
      <c r="K348" s="424"/>
      <c r="L348" s="424"/>
    </row>
    <row r="349" spans="1:12" ht="14.25">
      <c r="A349" s="424"/>
      <c r="B349" s="424"/>
      <c r="C349" s="424"/>
      <c r="D349" s="424"/>
      <c r="E349" s="424"/>
      <c r="F349" s="424"/>
      <c r="G349" s="424"/>
      <c r="H349" s="424"/>
      <c r="I349" s="424"/>
      <c r="J349" s="424"/>
      <c r="K349" s="424"/>
      <c r="L349" s="424"/>
    </row>
    <row r="350" spans="1:12" ht="14.25">
      <c r="A350" s="424"/>
      <c r="B350" s="424"/>
      <c r="C350" s="424"/>
      <c r="D350" s="424"/>
      <c r="E350" s="424"/>
      <c r="F350" s="424"/>
      <c r="G350" s="424"/>
      <c r="H350" s="424"/>
      <c r="I350" s="424"/>
      <c r="J350" s="424"/>
      <c r="K350" s="424"/>
      <c r="L350" s="424"/>
    </row>
    <row r="351" spans="1:12" ht="14.25">
      <c r="A351" s="424"/>
      <c r="B351" s="424"/>
      <c r="C351" s="424"/>
      <c r="D351" s="424"/>
      <c r="E351" s="424"/>
      <c r="F351" s="424"/>
      <c r="G351" s="424"/>
      <c r="H351" s="424"/>
      <c r="I351" s="424"/>
      <c r="J351" s="424"/>
      <c r="K351" s="424"/>
      <c r="L351" s="424"/>
    </row>
    <row r="352" spans="1:12" ht="14.25">
      <c r="A352" s="424"/>
      <c r="B352" s="424"/>
      <c r="C352" s="424"/>
      <c r="D352" s="424"/>
      <c r="E352" s="424"/>
      <c r="F352" s="424"/>
      <c r="G352" s="424"/>
      <c r="H352" s="424"/>
      <c r="I352" s="424"/>
      <c r="J352" s="424"/>
      <c r="K352" s="424"/>
      <c r="L352" s="424"/>
    </row>
    <row r="353" spans="1:12" ht="14.25">
      <c r="A353" s="424"/>
      <c r="B353" s="424"/>
      <c r="C353" s="424"/>
      <c r="D353" s="424"/>
      <c r="E353" s="424"/>
      <c r="F353" s="424"/>
      <c r="G353" s="424"/>
      <c r="H353" s="424"/>
      <c r="I353" s="424"/>
      <c r="J353" s="424"/>
      <c r="K353" s="424"/>
      <c r="L353" s="424"/>
    </row>
    <row r="354" spans="1:12" ht="14.25">
      <c r="A354" s="424"/>
      <c r="B354" s="424"/>
      <c r="C354" s="424"/>
      <c r="D354" s="424"/>
      <c r="E354" s="424"/>
      <c r="F354" s="424"/>
      <c r="G354" s="424"/>
      <c r="H354" s="424"/>
      <c r="I354" s="424"/>
      <c r="J354" s="424"/>
      <c r="K354" s="424"/>
      <c r="L354" s="424"/>
    </row>
  </sheetData>
  <sheetProtection sheet="1" objects="1" scenarios="1"/>
  <mergeCells count="55">
    <mergeCell ref="B110:K110"/>
    <mergeCell ref="C120:D120"/>
    <mergeCell ref="B106:K106"/>
    <mergeCell ref="B108:K108"/>
    <mergeCell ref="B6:K6"/>
    <mergeCell ref="B7:K7"/>
    <mergeCell ref="B8:K8"/>
    <mergeCell ref="B10:K10"/>
    <mergeCell ref="B12:K12"/>
    <mergeCell ref="C25:D25"/>
    <mergeCell ref="F23:G23"/>
    <mergeCell ref="B30:K30"/>
    <mergeCell ref="B31:K31"/>
    <mergeCell ref="B33:K33"/>
    <mergeCell ref="B35:K35"/>
    <mergeCell ref="C41:D41"/>
    <mergeCell ref="B48:C48"/>
    <mergeCell ref="G50:H50"/>
    <mergeCell ref="I51:K51"/>
    <mergeCell ref="B52:K52"/>
    <mergeCell ref="B53:K53"/>
    <mergeCell ref="B58:K58"/>
    <mergeCell ref="B55:K55"/>
    <mergeCell ref="B57:K57"/>
    <mergeCell ref="C74:D74"/>
    <mergeCell ref="C77:D77"/>
    <mergeCell ref="C80:D80"/>
    <mergeCell ref="C83:D83"/>
    <mergeCell ref="B85:K85"/>
    <mergeCell ref="B86:K86"/>
    <mergeCell ref="B88:K88"/>
    <mergeCell ref="B90:K90"/>
    <mergeCell ref="C94:D94"/>
    <mergeCell ref="C97:D97"/>
    <mergeCell ref="C100:D100"/>
    <mergeCell ref="B105:K105"/>
    <mergeCell ref="C136:D136"/>
    <mergeCell ref="C137:D137"/>
    <mergeCell ref="C114:D114"/>
    <mergeCell ref="C117:D117"/>
    <mergeCell ref="B125:K125"/>
    <mergeCell ref="B126:K126"/>
    <mergeCell ref="B128:K128"/>
    <mergeCell ref="B130:K130"/>
    <mergeCell ref="C123:D123"/>
    <mergeCell ref="B144:K144"/>
    <mergeCell ref="C147:D147"/>
    <mergeCell ref="J147:K147"/>
    <mergeCell ref="C148:D148"/>
    <mergeCell ref="J148:K148"/>
    <mergeCell ref="C103:D103"/>
    <mergeCell ref="C133:D133"/>
    <mergeCell ref="H133:I133"/>
    <mergeCell ref="C134:D134"/>
    <mergeCell ref="H134:I134"/>
  </mergeCells>
  <printOptions/>
  <pageMargins left="0.7" right="0.7" top="0.75" bottom="0.75" header="0.3" footer="0.3"/>
  <pageSetup blackAndWhite="1" horizontalDpi="600" verticalDpi="600" orientation="portrait" scale="71" r:id="rId1"/>
</worksheet>
</file>

<file path=xl/worksheets/sheet43.xml><?xml version="1.0" encoding="utf-8"?>
<worksheet xmlns="http://schemas.openxmlformats.org/spreadsheetml/2006/main" xmlns:r="http://schemas.openxmlformats.org/officeDocument/2006/relationships">
  <dimension ref="A1:A40"/>
  <sheetViews>
    <sheetView zoomScalePageLayoutView="0" workbookViewId="0" topLeftCell="A1">
      <selection activeCell="N82" sqref="N82"/>
    </sheetView>
  </sheetViews>
  <sheetFormatPr defaultColWidth="8.796875" defaultRowHeight="15"/>
  <cols>
    <col min="1" max="1" width="71.19921875" style="0" customWidth="1"/>
  </cols>
  <sheetData>
    <row r="1" ht="16.5">
      <c r="A1" s="447" t="s">
        <v>600</v>
      </c>
    </row>
    <row r="3" ht="31.5">
      <c r="A3" s="448" t="s">
        <v>601</v>
      </c>
    </row>
    <row r="4" ht="15.75">
      <c r="A4" s="449" t="s">
        <v>602</v>
      </c>
    </row>
    <row r="7" ht="31.5">
      <c r="A7" s="448" t="s">
        <v>603</v>
      </c>
    </row>
    <row r="8" ht="15.75">
      <c r="A8" s="449" t="s">
        <v>604</v>
      </c>
    </row>
    <row r="11" ht="15.75">
      <c r="A11" s="352" t="s">
        <v>605</v>
      </c>
    </row>
    <row r="12" ht="15.75">
      <c r="A12" s="449" t="s">
        <v>606</v>
      </c>
    </row>
    <row r="15" ht="15.75">
      <c r="A15" s="352" t="s">
        <v>607</v>
      </c>
    </row>
    <row r="16" ht="15.75">
      <c r="A16" s="449" t="s">
        <v>608</v>
      </c>
    </row>
    <row r="19" ht="15.75">
      <c r="A19" s="352" t="s">
        <v>609</v>
      </c>
    </row>
    <row r="20" ht="15.75">
      <c r="A20" s="449" t="s">
        <v>610</v>
      </c>
    </row>
    <row r="23" ht="15.75">
      <c r="A23" s="352" t="s">
        <v>611</v>
      </c>
    </row>
    <row r="24" ht="15.75">
      <c r="A24" s="449" t="s">
        <v>612</v>
      </c>
    </row>
    <row r="27" ht="15.75">
      <c r="A27" s="352" t="s">
        <v>613</v>
      </c>
    </row>
    <row r="28" ht="15.75">
      <c r="A28" s="449" t="s">
        <v>614</v>
      </c>
    </row>
    <row r="31" ht="15.75">
      <c r="A31" s="352" t="s">
        <v>615</v>
      </c>
    </row>
    <row r="32" ht="15.75">
      <c r="A32" s="449" t="s">
        <v>616</v>
      </c>
    </row>
    <row r="35" ht="15.75">
      <c r="A35" s="352" t="s">
        <v>617</v>
      </c>
    </row>
    <row r="36" ht="15.75">
      <c r="A36" s="449" t="s">
        <v>618</v>
      </c>
    </row>
    <row r="39" ht="15.75">
      <c r="A39" s="352" t="s">
        <v>619</v>
      </c>
    </row>
    <row r="40" ht="15.75">
      <c r="A40" s="449" t="s">
        <v>620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250"/>
  <sheetViews>
    <sheetView zoomScalePageLayoutView="0" workbookViewId="0" topLeftCell="A1">
      <selection activeCell="A82" sqref="A82"/>
    </sheetView>
  </sheetViews>
  <sheetFormatPr defaultColWidth="8.796875" defaultRowHeight="15"/>
  <cols>
    <col min="1" max="1" width="82.8984375" style="3" customWidth="1"/>
    <col min="2" max="16384" width="8.8984375" style="3" customWidth="1"/>
  </cols>
  <sheetData>
    <row r="1" ht="15.75">
      <c r="A1" s="823" t="s">
        <v>1050</v>
      </c>
    </row>
    <row r="2" ht="15.75">
      <c r="A2" s="3" t="s">
        <v>1051</v>
      </c>
    </row>
    <row r="3" ht="15.75">
      <c r="A3" s="3" t="s">
        <v>1052</v>
      </c>
    </row>
    <row r="4" ht="15.75">
      <c r="A4" s="3" t="s">
        <v>1053</v>
      </c>
    </row>
    <row r="5" ht="15.75">
      <c r="A5" s="3" t="s">
        <v>1054</v>
      </c>
    </row>
    <row r="6" ht="15.75">
      <c r="A6" s="3" t="s">
        <v>1055</v>
      </c>
    </row>
    <row r="7" ht="15.75">
      <c r="A7" s="3" t="s">
        <v>1056</v>
      </c>
    </row>
    <row r="8" ht="15.75">
      <c r="A8" s="3" t="s">
        <v>1057</v>
      </c>
    </row>
    <row r="9" ht="15.75">
      <c r="A9" s="3" t="s">
        <v>1058</v>
      </c>
    </row>
    <row r="11" ht="15.75">
      <c r="A11" s="823" t="s">
        <v>996</v>
      </c>
    </row>
    <row r="12" ht="15.75">
      <c r="A12" s="708" t="s">
        <v>998</v>
      </c>
    </row>
    <row r="13" ht="15.75">
      <c r="A13" s="708" t="s">
        <v>997</v>
      </c>
    </row>
    <row r="15" ht="15.75">
      <c r="A15" s="780" t="s">
        <v>993</v>
      </c>
    </row>
    <row r="16" ht="15.75">
      <c r="A16" s="1" t="s">
        <v>994</v>
      </c>
    </row>
    <row r="18" ht="15.75">
      <c r="A18" s="780" t="s">
        <v>991</v>
      </c>
    </row>
    <row r="19" ht="15.75">
      <c r="A19" s="1" t="s">
        <v>986</v>
      </c>
    </row>
    <row r="20" ht="15.75">
      <c r="A20" s="1" t="s">
        <v>987</v>
      </c>
    </row>
    <row r="21" ht="15.75">
      <c r="A21" s="1" t="s">
        <v>988</v>
      </c>
    </row>
    <row r="22" ht="15.75">
      <c r="A22" s="1" t="s">
        <v>989</v>
      </c>
    </row>
    <row r="23" ht="15.75">
      <c r="A23" s="1" t="s">
        <v>990</v>
      </c>
    </row>
    <row r="24" ht="15.75">
      <c r="A24" s="822" t="s">
        <v>992</v>
      </c>
    </row>
    <row r="26" ht="15.75">
      <c r="A26" s="371" t="s">
        <v>983</v>
      </c>
    </row>
    <row r="27" ht="15.75">
      <c r="A27" s="708" t="s">
        <v>985</v>
      </c>
    </row>
    <row r="28" ht="15.75">
      <c r="A28" s="3" t="s">
        <v>984</v>
      </c>
    </row>
    <row r="30" ht="15.75">
      <c r="A30" s="371" t="s">
        <v>981</v>
      </c>
    </row>
    <row r="31" ht="15.75">
      <c r="A31" s="708" t="s">
        <v>980</v>
      </c>
    </row>
    <row r="33" ht="15.75">
      <c r="A33" s="371" t="s">
        <v>957</v>
      </c>
    </row>
    <row r="34" ht="15.75">
      <c r="A34" s="708" t="s">
        <v>956</v>
      </c>
    </row>
    <row r="36" ht="15.75">
      <c r="A36" s="371" t="s">
        <v>954</v>
      </c>
    </row>
    <row r="37" ht="15.75">
      <c r="A37" s="708" t="s">
        <v>955</v>
      </c>
    </row>
    <row r="39" ht="15.75">
      <c r="A39" s="371" t="s">
        <v>930</v>
      </c>
    </row>
    <row r="40" ht="15.75">
      <c r="A40" s="708" t="s">
        <v>931</v>
      </c>
    </row>
    <row r="42" ht="15.75">
      <c r="A42" s="371" t="s">
        <v>932</v>
      </c>
    </row>
    <row r="43" ht="15.75">
      <c r="A43" s="689" t="s">
        <v>921</v>
      </c>
    </row>
    <row r="45" ht="15.75">
      <c r="A45" s="371" t="s">
        <v>933</v>
      </c>
    </row>
    <row r="46" ht="15.75">
      <c r="A46" s="3" t="s">
        <v>920</v>
      </c>
    </row>
    <row r="48" ht="15.75">
      <c r="A48" s="371" t="s">
        <v>934</v>
      </c>
    </row>
    <row r="49" ht="15.75">
      <c r="A49" s="3" t="s">
        <v>919</v>
      </c>
    </row>
    <row r="51" ht="15.75">
      <c r="A51" s="371" t="s">
        <v>935</v>
      </c>
    </row>
    <row r="52" ht="15.75">
      <c r="A52" s="670" t="s">
        <v>918</v>
      </c>
    </row>
    <row r="54" ht="15.75">
      <c r="A54" s="371" t="s">
        <v>936</v>
      </c>
    </row>
    <row r="55" ht="15.75">
      <c r="A55" s="3" t="s">
        <v>917</v>
      </c>
    </row>
    <row r="57" ht="15.75">
      <c r="A57" s="371" t="s">
        <v>937</v>
      </c>
    </row>
    <row r="58" ht="15.75">
      <c r="A58" s="3" t="s">
        <v>916</v>
      </c>
    </row>
    <row r="60" ht="15.75">
      <c r="A60" s="371" t="s">
        <v>938</v>
      </c>
    </row>
    <row r="61" ht="15.75">
      <c r="A61" s="3" t="s">
        <v>914</v>
      </c>
    </row>
    <row r="62" ht="15.75">
      <c r="A62" s="3" t="s">
        <v>915</v>
      </c>
    </row>
    <row r="64" ht="15.75">
      <c r="A64" s="371" t="s">
        <v>939</v>
      </c>
    </row>
    <row r="65" ht="15.75">
      <c r="A65" s="670" t="s">
        <v>841</v>
      </c>
    </row>
    <row r="66" ht="15.75">
      <c r="A66" s="3" t="s">
        <v>842</v>
      </c>
    </row>
    <row r="67" ht="15.75">
      <c r="A67" s="3" t="s">
        <v>843</v>
      </c>
    </row>
    <row r="68" ht="15.75">
      <c r="A68" s="3" t="s">
        <v>844</v>
      </c>
    </row>
    <row r="69" ht="15.75">
      <c r="A69" s="3" t="s">
        <v>845</v>
      </c>
    </row>
    <row r="70" ht="15.75">
      <c r="A70" s="3" t="s">
        <v>846</v>
      </c>
    </row>
    <row r="71" ht="15.75">
      <c r="A71" s="3" t="s">
        <v>847</v>
      </c>
    </row>
    <row r="72" ht="15.75">
      <c r="A72" s="3" t="s">
        <v>848</v>
      </c>
    </row>
    <row r="73" ht="15.75">
      <c r="A73" s="3" t="s">
        <v>849</v>
      </c>
    </row>
    <row r="74" ht="15.75">
      <c r="A74" s="3" t="s">
        <v>850</v>
      </c>
    </row>
    <row r="75" ht="15.75">
      <c r="A75" s="3" t="s">
        <v>851</v>
      </c>
    </row>
    <row r="76" ht="15.75">
      <c r="A76" s="3" t="s">
        <v>852</v>
      </c>
    </row>
    <row r="77" ht="15.75">
      <c r="A77" s="3" t="s">
        <v>853</v>
      </c>
    </row>
    <row r="78" ht="15.75">
      <c r="A78" s="3" t="s">
        <v>854</v>
      </c>
    </row>
    <row r="79" ht="15.75">
      <c r="A79" s="3" t="s">
        <v>855</v>
      </c>
    </row>
    <row r="80" ht="15.75">
      <c r="A80" s="3" t="s">
        <v>856</v>
      </c>
    </row>
    <row r="81" ht="47.25">
      <c r="A81" s="5" t="s">
        <v>857</v>
      </c>
    </row>
    <row r="82" ht="15.75">
      <c r="A82" s="4" t="s">
        <v>858</v>
      </c>
    </row>
    <row r="83" ht="31.5">
      <c r="A83" s="5" t="s">
        <v>859</v>
      </c>
    </row>
    <row r="84" ht="15.75">
      <c r="A84" s="3" t="s">
        <v>860</v>
      </c>
    </row>
    <row r="85" ht="15.75">
      <c r="A85" s="3" t="s">
        <v>861</v>
      </c>
    </row>
    <row r="86" ht="15.75">
      <c r="A86" s="3" t="s">
        <v>862</v>
      </c>
    </row>
    <row r="87" ht="15.75">
      <c r="A87" s="3" t="s">
        <v>863</v>
      </c>
    </row>
    <row r="88" ht="15.75">
      <c r="A88" s="3" t="s">
        <v>864</v>
      </c>
    </row>
    <row r="89" ht="15.75">
      <c r="A89" s="3" t="s">
        <v>865</v>
      </c>
    </row>
    <row r="90" ht="15.75">
      <c r="A90" s="3" t="s">
        <v>866</v>
      </c>
    </row>
    <row r="91" ht="15.75">
      <c r="A91" s="3" t="s">
        <v>867</v>
      </c>
    </row>
    <row r="92" ht="15.75">
      <c r="A92" s="3" t="s">
        <v>868</v>
      </c>
    </row>
    <row r="93" ht="15.75">
      <c r="A93" s="3" t="s">
        <v>869</v>
      </c>
    </row>
    <row r="94" ht="15.75">
      <c r="A94" s="3" t="s">
        <v>870</v>
      </c>
    </row>
    <row r="95" ht="15.75">
      <c r="A95" s="3" t="s">
        <v>871</v>
      </c>
    </row>
    <row r="96" ht="15.75">
      <c r="A96" s="3" t="s">
        <v>872</v>
      </c>
    </row>
    <row r="97" ht="15.75">
      <c r="A97" s="3" t="s">
        <v>873</v>
      </c>
    </row>
    <row r="98" ht="15.75">
      <c r="A98" s="3" t="s">
        <v>874</v>
      </c>
    </row>
    <row r="99" ht="15.75">
      <c r="A99" s="3" t="s">
        <v>875</v>
      </c>
    </row>
    <row r="101" ht="15.75">
      <c r="A101" s="371" t="s">
        <v>940</v>
      </c>
    </row>
    <row r="102" ht="15.75">
      <c r="A102" s="3" t="s">
        <v>751</v>
      </c>
    </row>
    <row r="103" ht="15.75">
      <c r="A103" s="3" t="s">
        <v>752</v>
      </c>
    </row>
    <row r="105" ht="15.75">
      <c r="A105" s="371" t="s">
        <v>941</v>
      </c>
    </row>
    <row r="106" ht="15.75">
      <c r="A106" s="3" t="s">
        <v>750</v>
      </c>
    </row>
    <row r="108" ht="15.75">
      <c r="A108" s="371" t="s">
        <v>942</v>
      </c>
    </row>
    <row r="109" ht="15.75">
      <c r="A109" s="3" t="s">
        <v>749</v>
      </c>
    </row>
    <row r="111" ht="15.75">
      <c r="A111" s="371" t="s">
        <v>943</v>
      </c>
    </row>
    <row r="112" ht="15.75">
      <c r="A112" s="373" t="s">
        <v>748</v>
      </c>
    </row>
    <row r="114" ht="15.75">
      <c r="A114" s="371" t="s">
        <v>944</v>
      </c>
    </row>
    <row r="115" ht="15.75">
      <c r="A115" s="373" t="s">
        <v>595</v>
      </c>
    </row>
    <row r="116" ht="15.75">
      <c r="A116" s="373" t="s">
        <v>596</v>
      </c>
    </row>
    <row r="117" ht="31.5">
      <c r="A117" s="372" t="s">
        <v>597</v>
      </c>
    </row>
    <row r="118" ht="15.75">
      <c r="A118" s="373" t="s">
        <v>712</v>
      </c>
    </row>
    <row r="119" ht="15.75">
      <c r="A119" s="373" t="s">
        <v>713</v>
      </c>
    </row>
    <row r="120" ht="15.75">
      <c r="A120" s="373" t="s">
        <v>714</v>
      </c>
    </row>
    <row r="121" ht="15.75">
      <c r="A121" s="373" t="s">
        <v>715</v>
      </c>
    </row>
    <row r="122" ht="15.75">
      <c r="A122" s="373" t="s">
        <v>716</v>
      </c>
    </row>
    <row r="123" ht="15.75">
      <c r="A123" s="373" t="s">
        <v>717</v>
      </c>
    </row>
    <row r="124" ht="15.75">
      <c r="A124" s="373" t="s">
        <v>718</v>
      </c>
    </row>
    <row r="125" ht="15.75">
      <c r="A125" s="373" t="s">
        <v>719</v>
      </c>
    </row>
    <row r="126" ht="15.75">
      <c r="A126" s="373" t="s">
        <v>720</v>
      </c>
    </row>
    <row r="127" ht="15.75">
      <c r="A127" s="373" t="s">
        <v>721</v>
      </c>
    </row>
    <row r="128" ht="15.75">
      <c r="A128" s="373" t="s">
        <v>722</v>
      </c>
    </row>
    <row r="129" ht="15.75">
      <c r="A129" s="373" t="s">
        <v>723</v>
      </c>
    </row>
    <row r="130" ht="15.75">
      <c r="A130" s="373" t="s">
        <v>724</v>
      </c>
    </row>
    <row r="131" ht="15.75">
      <c r="A131" s="373" t="s">
        <v>725</v>
      </c>
    </row>
    <row r="132" ht="15.75">
      <c r="A132" s="373" t="s">
        <v>726</v>
      </c>
    </row>
    <row r="133" ht="15.75">
      <c r="A133" s="373" t="s">
        <v>727</v>
      </c>
    </row>
    <row r="134" ht="15.75">
      <c r="A134" s="373" t="s">
        <v>728</v>
      </c>
    </row>
    <row r="135" ht="15.75">
      <c r="A135" s="373" t="s">
        <v>729</v>
      </c>
    </row>
    <row r="136" ht="15.75">
      <c r="A136" s="373" t="s">
        <v>730</v>
      </c>
    </row>
    <row r="137" ht="15.75">
      <c r="A137" s="373" t="s">
        <v>731</v>
      </c>
    </row>
    <row r="138" ht="15.75">
      <c r="A138" s="373" t="s">
        <v>732</v>
      </c>
    </row>
    <row r="139" ht="15.75">
      <c r="A139" s="373" t="s">
        <v>733</v>
      </c>
    </row>
    <row r="140" ht="15.75">
      <c r="A140" s="373" t="s">
        <v>734</v>
      </c>
    </row>
    <row r="141" ht="15.75">
      <c r="A141" s="373" t="s">
        <v>735</v>
      </c>
    </row>
    <row r="142" ht="15.75">
      <c r="A142" s="373" t="s">
        <v>736</v>
      </c>
    </row>
    <row r="144" ht="15.75">
      <c r="A144" s="307" t="s">
        <v>945</v>
      </c>
    </row>
    <row r="145" ht="15.75">
      <c r="A145" s="3" t="s">
        <v>580</v>
      </c>
    </row>
    <row r="146" ht="15.75">
      <c r="A146" s="3" t="s">
        <v>581</v>
      </c>
    </row>
    <row r="147" ht="15.75">
      <c r="A147" s="3" t="s">
        <v>582</v>
      </c>
    </row>
    <row r="149" ht="15.75">
      <c r="A149" s="307" t="s">
        <v>946</v>
      </c>
    </row>
    <row r="150" ht="15.75">
      <c r="A150" s="3" t="s">
        <v>579</v>
      </c>
    </row>
    <row r="152" ht="15.75">
      <c r="A152" s="307" t="s">
        <v>947</v>
      </c>
    </row>
    <row r="153" ht="15.75">
      <c r="A153" s="305" t="s">
        <v>560</v>
      </c>
    </row>
    <row r="154" ht="15.75">
      <c r="A154" s="305" t="s">
        <v>561</v>
      </c>
    </row>
    <row r="155" ht="15.75">
      <c r="A155" s="305" t="s">
        <v>562</v>
      </c>
    </row>
    <row r="157" ht="15.75">
      <c r="A157" s="284" t="s">
        <v>948</v>
      </c>
    </row>
    <row r="158" ht="15.75">
      <c r="A158" s="292" t="s">
        <v>335</v>
      </c>
    </row>
    <row r="159" ht="15.75">
      <c r="A159" s="291" t="s">
        <v>336</v>
      </c>
    </row>
    <row r="160" ht="15.75">
      <c r="A160" s="291" t="s">
        <v>337</v>
      </c>
    </row>
    <row r="161" ht="15.75" customHeight="1">
      <c r="A161" s="698" t="s">
        <v>338</v>
      </c>
    </row>
    <row r="162" ht="15.75">
      <c r="A162" s="291" t="s">
        <v>339</v>
      </c>
    </row>
    <row r="163" ht="15.75">
      <c r="A163" s="291" t="s">
        <v>340</v>
      </c>
    </row>
    <row r="164" ht="15.75">
      <c r="A164" s="291" t="s">
        <v>341</v>
      </c>
    </row>
    <row r="165" ht="15.75">
      <c r="A165" s="291" t="s">
        <v>342</v>
      </c>
    </row>
    <row r="166" ht="15.75">
      <c r="A166" s="3" t="s">
        <v>343</v>
      </c>
    </row>
    <row r="168" ht="15.75">
      <c r="A168" s="284" t="s">
        <v>949</v>
      </c>
    </row>
    <row r="169" ht="15.75">
      <c r="A169" s="3" t="s">
        <v>308</v>
      </c>
    </row>
    <row r="170" ht="15.75">
      <c r="A170" s="3" t="s">
        <v>309</v>
      </c>
    </row>
    <row r="171" ht="15.75">
      <c r="A171" s="3" t="s">
        <v>310</v>
      </c>
    </row>
    <row r="172" ht="15.75">
      <c r="A172" s="3" t="s">
        <v>311</v>
      </c>
    </row>
    <row r="174" ht="15.75">
      <c r="A174" s="284" t="s">
        <v>305</v>
      </c>
    </row>
    <row r="175" ht="15.75">
      <c r="A175" s="3" t="s">
        <v>306</v>
      </c>
    </row>
    <row r="176" ht="15.75">
      <c r="A176" s="3" t="s">
        <v>307</v>
      </c>
    </row>
    <row r="178" ht="15.75">
      <c r="A178" s="284" t="s">
        <v>287</v>
      </c>
    </row>
    <row r="179" ht="15.75">
      <c r="A179" s="3" t="s">
        <v>275</v>
      </c>
    </row>
    <row r="180" ht="15.75">
      <c r="A180" s="3" t="s">
        <v>276</v>
      </c>
    </row>
    <row r="181" ht="15.75">
      <c r="A181" s="3" t="s">
        <v>277</v>
      </c>
    </row>
    <row r="182" ht="15.75">
      <c r="A182" s="3" t="s">
        <v>270</v>
      </c>
    </row>
    <row r="183" ht="15.75">
      <c r="A183" s="3" t="s">
        <v>278</v>
      </c>
    </row>
    <row r="184" ht="15.75">
      <c r="A184" s="3" t="s">
        <v>279</v>
      </c>
    </row>
    <row r="185" ht="31.5">
      <c r="A185" s="5" t="s">
        <v>280</v>
      </c>
    </row>
    <row r="186" ht="31.5">
      <c r="A186" s="5" t="s">
        <v>281</v>
      </c>
    </row>
    <row r="187" ht="15.75">
      <c r="A187" s="5" t="s">
        <v>288</v>
      </c>
    </row>
    <row r="188" ht="15.75">
      <c r="A188" s="5" t="s">
        <v>282</v>
      </c>
    </row>
    <row r="189" ht="31.5">
      <c r="A189" s="5" t="s">
        <v>283</v>
      </c>
    </row>
    <row r="190" ht="15.75">
      <c r="A190" s="3" t="s">
        <v>284</v>
      </c>
    </row>
    <row r="191" ht="31.5">
      <c r="A191" s="5" t="s">
        <v>289</v>
      </c>
    </row>
    <row r="192" ht="15.75">
      <c r="A192" s="3" t="s">
        <v>167</v>
      </c>
    </row>
    <row r="193" ht="15.75">
      <c r="A193" s="3" t="s">
        <v>285</v>
      </c>
    </row>
    <row r="194" ht="35.25" customHeight="1">
      <c r="A194" s="3" t="s">
        <v>286</v>
      </c>
    </row>
    <row r="195" ht="20.25" customHeight="1">
      <c r="A195" s="5" t="s">
        <v>166</v>
      </c>
    </row>
    <row r="196" ht="15.75">
      <c r="A196" s="3" t="s">
        <v>168</v>
      </c>
    </row>
    <row r="197" ht="31.5">
      <c r="A197" s="5" t="s">
        <v>164</v>
      </c>
    </row>
    <row r="198" ht="15.75">
      <c r="A198" s="3" t="s">
        <v>165</v>
      </c>
    </row>
    <row r="200" ht="15.75">
      <c r="A200" s="284" t="s">
        <v>290</v>
      </c>
    </row>
    <row r="201" ht="15.75">
      <c r="A201" s="3" t="s">
        <v>291</v>
      </c>
    </row>
    <row r="202" ht="15.75">
      <c r="A202" s="3" t="s">
        <v>292</v>
      </c>
    </row>
    <row r="203" ht="15.75">
      <c r="A203" s="3" t="s">
        <v>293</v>
      </c>
    </row>
    <row r="204" ht="15.75">
      <c r="A204" s="3" t="s">
        <v>294</v>
      </c>
    </row>
    <row r="206" ht="15.75">
      <c r="A206" s="284" t="s">
        <v>267</v>
      </c>
    </row>
    <row r="207" ht="15.75">
      <c r="A207" s="3" t="s">
        <v>268</v>
      </c>
    </row>
    <row r="209" ht="15.75">
      <c r="A209" s="284" t="s">
        <v>262</v>
      </c>
    </row>
    <row r="210" ht="31.5">
      <c r="A210" s="5" t="s">
        <v>263</v>
      </c>
    </row>
    <row r="211" ht="15.75">
      <c r="A211" s="3" t="s">
        <v>264</v>
      </c>
    </row>
    <row r="212" ht="15.75">
      <c r="A212" s="3" t="s">
        <v>266</v>
      </c>
    </row>
    <row r="213" ht="15.75">
      <c r="A213" s="3" t="s">
        <v>265</v>
      </c>
    </row>
    <row r="214" ht="18" customHeight="1"/>
    <row r="215" ht="48.75" customHeight="1">
      <c r="A215" s="3" t="s">
        <v>195</v>
      </c>
    </row>
    <row r="216" ht="47.25">
      <c r="A216" s="5" t="s">
        <v>220</v>
      </c>
    </row>
    <row r="217" ht="15.75">
      <c r="A217" s="3" t="s">
        <v>196</v>
      </c>
    </row>
    <row r="218" ht="15.75">
      <c r="A218" s="3" t="s">
        <v>197</v>
      </c>
    </row>
    <row r="219" ht="15.75">
      <c r="A219" s="3" t="s">
        <v>221</v>
      </c>
    </row>
    <row r="220" ht="15.75">
      <c r="A220" s="3" t="s">
        <v>198</v>
      </c>
    </row>
    <row r="221" ht="15.75">
      <c r="A221" s="3" t="s">
        <v>199</v>
      </c>
    </row>
    <row r="222" ht="15.75">
      <c r="A222" s="3" t="s">
        <v>230</v>
      </c>
    </row>
    <row r="223" ht="15.75">
      <c r="A223" s="3" t="s">
        <v>200</v>
      </c>
    </row>
    <row r="224" ht="15.75">
      <c r="A224" s="3" t="s">
        <v>201</v>
      </c>
    </row>
    <row r="225" ht="31.5">
      <c r="A225" s="5" t="s">
        <v>202</v>
      </c>
    </row>
    <row r="226" ht="31.5">
      <c r="A226" s="5" t="s">
        <v>296</v>
      </c>
    </row>
    <row r="227" ht="15.75">
      <c r="A227" s="3" t="s">
        <v>203</v>
      </c>
    </row>
    <row r="228" ht="15.75">
      <c r="A228" s="3" t="s">
        <v>204</v>
      </c>
    </row>
    <row r="229" ht="15.75">
      <c r="A229" s="3" t="s">
        <v>222</v>
      </c>
    </row>
    <row r="230" ht="15.75">
      <c r="A230" s="3" t="s">
        <v>205</v>
      </c>
    </row>
    <row r="231" ht="15.75">
      <c r="A231" s="3" t="s">
        <v>223</v>
      </c>
    </row>
    <row r="232" ht="31.5">
      <c r="A232" s="5" t="s">
        <v>224</v>
      </c>
    </row>
    <row r="233" ht="15.75">
      <c r="A233" s="3" t="s">
        <v>211</v>
      </c>
    </row>
    <row r="234" ht="15.75">
      <c r="A234" s="3" t="s">
        <v>212</v>
      </c>
    </row>
    <row r="235" ht="31.5">
      <c r="A235" s="5" t="s">
        <v>213</v>
      </c>
    </row>
    <row r="236" ht="15.75">
      <c r="A236" s="3" t="s">
        <v>248</v>
      </c>
    </row>
    <row r="237" ht="15.75">
      <c r="A237" s="3" t="s">
        <v>247</v>
      </c>
    </row>
    <row r="238" ht="15.75">
      <c r="A238" s="3" t="s">
        <v>249</v>
      </c>
    </row>
    <row r="239" ht="15.75">
      <c r="A239" s="3" t="s">
        <v>250</v>
      </c>
    </row>
    <row r="240" ht="15.75">
      <c r="A240" s="3" t="s">
        <v>251</v>
      </c>
    </row>
    <row r="241" ht="15.75">
      <c r="A241" s="3" t="s">
        <v>252</v>
      </c>
    </row>
    <row r="242" ht="15.75">
      <c r="A242" s="3" t="s">
        <v>253</v>
      </c>
    </row>
    <row r="243" ht="15.75">
      <c r="A243" s="3" t="s">
        <v>254</v>
      </c>
    </row>
    <row r="244" ht="15.75">
      <c r="A244" s="3" t="s">
        <v>255</v>
      </c>
    </row>
    <row r="245" ht="15.75">
      <c r="A245" s="3" t="s">
        <v>256</v>
      </c>
    </row>
    <row r="246" ht="15.75">
      <c r="A246" s="3" t="s">
        <v>257</v>
      </c>
    </row>
    <row r="247" ht="15.75">
      <c r="A247" s="3" t="s">
        <v>258</v>
      </c>
    </row>
    <row r="248" ht="15.75">
      <c r="A248" s="3" t="s">
        <v>259</v>
      </c>
    </row>
    <row r="249" ht="15.75">
      <c r="A249" s="3" t="s">
        <v>261</v>
      </c>
    </row>
    <row r="250" ht="15.75">
      <c r="A250" s="3" t="s">
        <v>260</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50"/>
  <sheetViews>
    <sheetView zoomScalePageLayoutView="0" workbookViewId="0" topLeftCell="A1">
      <selection activeCell="D45" sqref="D45"/>
    </sheetView>
  </sheetViews>
  <sheetFormatPr defaultColWidth="8.796875" defaultRowHeight="15"/>
  <cols>
    <col min="1" max="1" width="78.19921875" style="0" customWidth="1"/>
  </cols>
  <sheetData>
    <row r="1" ht="15">
      <c r="A1" s="958" t="s">
        <v>999</v>
      </c>
    </row>
    <row r="2" ht="15">
      <c r="A2" s="338"/>
    </row>
    <row r="3" ht="15">
      <c r="A3" s="338"/>
    </row>
    <row r="4" ht="15">
      <c r="A4" s="338"/>
    </row>
    <row r="5" ht="15">
      <c r="A5" s="338"/>
    </row>
    <row r="6" ht="15">
      <c r="A6" s="338"/>
    </row>
    <row r="7" ht="15">
      <c r="A7" s="338"/>
    </row>
    <row r="8" ht="15">
      <c r="A8" s="338"/>
    </row>
    <row r="9" ht="15">
      <c r="A9" s="338"/>
    </row>
    <row r="10" ht="15">
      <c r="A10" s="338"/>
    </row>
    <row r="11" ht="15">
      <c r="A11" s="338"/>
    </row>
    <row r="12" ht="15">
      <c r="A12" s="338"/>
    </row>
    <row r="13" ht="15">
      <c r="A13" s="338"/>
    </row>
    <row r="14" ht="15">
      <c r="A14" s="338"/>
    </row>
    <row r="15" ht="15">
      <c r="A15" s="338"/>
    </row>
    <row r="16" ht="15">
      <c r="A16" s="338"/>
    </row>
    <row r="17" ht="15">
      <c r="A17" s="338"/>
    </row>
    <row r="18" ht="15">
      <c r="A18" s="338"/>
    </row>
    <row r="19" ht="15">
      <c r="A19" s="338"/>
    </row>
    <row r="20" ht="15">
      <c r="A20" s="338"/>
    </row>
    <row r="21" ht="15">
      <c r="A21" s="338"/>
    </row>
    <row r="22" ht="15">
      <c r="A22" s="338"/>
    </row>
    <row r="23" ht="15">
      <c r="A23" s="338"/>
    </row>
    <row r="24" ht="15">
      <c r="A24" s="338"/>
    </row>
    <row r="25" ht="15">
      <c r="A25" s="338"/>
    </row>
    <row r="26" ht="15">
      <c r="A26" s="338"/>
    </row>
    <row r="27" ht="15">
      <c r="A27" s="338"/>
    </row>
    <row r="28" ht="15">
      <c r="A28" s="338"/>
    </row>
    <row r="29" ht="15">
      <c r="A29" s="338"/>
    </row>
    <row r="30" ht="15">
      <c r="A30" s="338"/>
    </row>
    <row r="31" ht="15">
      <c r="A31" s="338"/>
    </row>
    <row r="32" ht="15">
      <c r="A32" s="338"/>
    </row>
    <row r="33" ht="15">
      <c r="A33" s="338"/>
    </row>
    <row r="34" ht="15">
      <c r="A34" s="338"/>
    </row>
    <row r="35" ht="15">
      <c r="A35" s="338"/>
    </row>
    <row r="36" ht="15">
      <c r="A36" s="338"/>
    </row>
    <row r="37" ht="15">
      <c r="A37" s="338"/>
    </row>
    <row r="38" ht="15">
      <c r="A38" s="338"/>
    </row>
    <row r="39" ht="15">
      <c r="A39" s="338"/>
    </row>
    <row r="40" ht="15">
      <c r="A40" s="338"/>
    </row>
    <row r="41" ht="15">
      <c r="A41" s="338"/>
    </row>
    <row r="42" ht="15">
      <c r="A42" s="338"/>
    </row>
    <row r="43" ht="15">
      <c r="A43" s="338"/>
    </row>
    <row r="44" ht="15">
      <c r="A44" s="338"/>
    </row>
    <row r="45" ht="15">
      <c r="A45" s="959"/>
    </row>
    <row r="46" ht="15">
      <c r="A46" s="959"/>
    </row>
    <row r="47" ht="15">
      <c r="A47" s="959"/>
    </row>
    <row r="48" ht="15">
      <c r="A48" s="959"/>
    </row>
    <row r="49" ht="15">
      <c r="A49" s="959"/>
    </row>
    <row r="50" ht="15">
      <c r="A50" s="95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1:G95"/>
  <sheetViews>
    <sheetView zoomScalePageLayoutView="0" workbookViewId="0" topLeftCell="B1">
      <selection activeCell="K97" sqref="K97"/>
    </sheetView>
  </sheetViews>
  <sheetFormatPr defaultColWidth="8.796875" defaultRowHeight="15"/>
  <cols>
    <col min="1" max="1" width="0" style="64" hidden="1" customWidth="1"/>
    <col min="2" max="2" width="24.3984375" style="17" customWidth="1"/>
    <col min="3" max="3" width="10.796875" style="17" customWidth="1"/>
    <col min="4" max="4" width="5.796875" style="17" customWidth="1"/>
    <col min="5" max="5" width="14" style="17" customWidth="1"/>
    <col min="6" max="7" width="13.796875" style="17" customWidth="1"/>
    <col min="8" max="16384" width="8.8984375" style="64" customWidth="1"/>
  </cols>
  <sheetData>
    <row r="1" spans="2:7" ht="15.75">
      <c r="B1" s="16"/>
      <c r="C1" s="16"/>
      <c r="D1" s="16"/>
      <c r="E1" s="16"/>
      <c r="F1" s="16"/>
      <c r="G1" s="16">
        <f>inputPrYr!C6</f>
        <v>0</v>
      </c>
    </row>
    <row r="2" spans="2:7" ht="15.75">
      <c r="B2" s="16"/>
      <c r="C2" s="16"/>
      <c r="D2" s="18" t="s">
        <v>86</v>
      </c>
      <c r="E2" s="16"/>
      <c r="F2" s="16"/>
      <c r="G2" s="93"/>
    </row>
    <row r="3" spans="2:7" ht="15.75">
      <c r="B3" s="989" t="str">
        <f>CONCATENATE("To the Clerk of ",inputPrYr!D4,", State of Kansas")</f>
        <v>To the Clerk of , State of Kansas</v>
      </c>
      <c r="C3" s="980"/>
      <c r="D3" s="980"/>
      <c r="E3" s="980"/>
      <c r="F3" s="980"/>
      <c r="G3" s="980"/>
    </row>
    <row r="4" spans="2:7" ht="15.75">
      <c r="B4" s="24" t="s">
        <v>583</v>
      </c>
      <c r="C4" s="23"/>
      <c r="D4" s="23"/>
      <c r="E4" s="23"/>
      <c r="F4" s="23"/>
      <c r="G4" s="23"/>
    </row>
    <row r="5" spans="2:7" ht="15.75">
      <c r="B5" s="968">
        <f>(inputPrYr!D3)</f>
        <v>0</v>
      </c>
      <c r="C5" s="988"/>
      <c r="D5" s="988"/>
      <c r="E5" s="988"/>
      <c r="F5" s="988"/>
      <c r="G5" s="988"/>
    </row>
    <row r="6" spans="2:7" ht="15.75">
      <c r="B6" s="24" t="s">
        <v>304</v>
      </c>
      <c r="C6" s="23"/>
      <c r="D6" s="23"/>
      <c r="E6" s="23"/>
      <c r="F6" s="23"/>
      <c r="G6" s="23"/>
    </row>
    <row r="7" spans="2:7" ht="15.75">
      <c r="B7" s="24" t="s">
        <v>0</v>
      </c>
      <c r="C7" s="23"/>
      <c r="D7" s="23"/>
      <c r="E7" s="23"/>
      <c r="F7" s="23"/>
      <c r="G7" s="23"/>
    </row>
    <row r="8" spans="2:7" ht="15.75">
      <c r="B8" s="24" t="str">
        <f>CONCATENATE("maximum expenditures for the various funds for the year ",G1,"; and")</f>
        <v>maximum expenditures for the various funds for the year 0; and</v>
      </c>
      <c r="C8" s="23"/>
      <c r="D8" s="23"/>
      <c r="E8" s="23"/>
      <c r="F8" s="23"/>
      <c r="G8" s="23"/>
    </row>
    <row r="9" spans="2:7" ht="15.75">
      <c r="B9" s="24" t="str">
        <f>CONCATENATE("(3) the Amount(s) of ",G1-1," Ad Valorem Tax are within statutory limitations.")</f>
        <v>(3) the Amount(s) of -1 Ad Valorem Tax are within statutory limitations.</v>
      </c>
      <c r="C9" s="23"/>
      <c r="D9" s="23"/>
      <c r="E9" s="23"/>
      <c r="F9" s="23"/>
      <c r="G9" s="23"/>
    </row>
    <row r="10" spans="2:7" ht="15.75">
      <c r="B10" s="16"/>
      <c r="C10" s="16"/>
      <c r="D10" s="16"/>
      <c r="E10" s="94" t="str">
        <f>CONCATENATE("",G1," Adopted Budget")</f>
        <v>0 Adopted Budget</v>
      </c>
      <c r="F10" s="95"/>
      <c r="G10" s="96"/>
    </row>
    <row r="11" spans="2:7" ht="21" customHeight="1">
      <c r="B11" s="16"/>
      <c r="C11" s="16"/>
      <c r="D11" s="97"/>
      <c r="E11" s="98" t="s">
        <v>1</v>
      </c>
      <c r="F11" s="99" t="s">
        <v>160</v>
      </c>
      <c r="G11" s="99" t="s">
        <v>2</v>
      </c>
    </row>
    <row r="12" spans="2:7" ht="15.75">
      <c r="B12" s="19"/>
      <c r="C12" s="16"/>
      <c r="D12" s="99" t="s">
        <v>3</v>
      </c>
      <c r="E12" s="100" t="s">
        <v>233</v>
      </c>
      <c r="F12" s="101" t="str">
        <f>CONCATENATE("",G1-1," Ad")</f>
        <v>-1 Ad</v>
      </c>
      <c r="G12" s="100" t="s">
        <v>4</v>
      </c>
    </row>
    <row r="13" spans="2:7" ht="15.75">
      <c r="B13" s="102" t="s">
        <v>5</v>
      </c>
      <c r="C13" s="41"/>
      <c r="D13" s="103" t="s">
        <v>6</v>
      </c>
      <c r="E13" s="103" t="s">
        <v>591</v>
      </c>
      <c r="F13" s="104" t="s">
        <v>161</v>
      </c>
      <c r="G13" s="103" t="s">
        <v>7</v>
      </c>
    </row>
    <row r="14" spans="2:7" ht="15.75">
      <c r="B14" s="105" t="str">
        <f>CONCATENATE("Computation to Determine Limit for ",G1,"")</f>
        <v>Computation to Determine Limit for 0</v>
      </c>
      <c r="C14" s="58"/>
      <c r="D14" s="106">
        <v>2</v>
      </c>
      <c r="E14" s="107"/>
      <c r="F14" s="107"/>
      <c r="G14" s="107"/>
    </row>
    <row r="15" spans="2:7" ht="15.75">
      <c r="B15" s="105" t="s">
        <v>757</v>
      </c>
      <c r="C15" s="41"/>
      <c r="D15" s="103">
        <v>3</v>
      </c>
      <c r="E15" s="100"/>
      <c r="F15" s="100"/>
      <c r="G15" s="100"/>
    </row>
    <row r="16" spans="2:7" ht="15.75">
      <c r="B16" s="105" t="s">
        <v>137</v>
      </c>
      <c r="C16" s="41"/>
      <c r="D16" s="103">
        <v>4</v>
      </c>
      <c r="E16" s="100"/>
      <c r="F16" s="100"/>
      <c r="G16" s="100"/>
    </row>
    <row r="17" spans="2:7" ht="15.75">
      <c r="B17" s="105" t="s">
        <v>8</v>
      </c>
      <c r="C17" s="58"/>
      <c r="D17" s="106">
        <v>5</v>
      </c>
      <c r="E17" s="108"/>
      <c r="F17" s="108"/>
      <c r="G17" s="108"/>
    </row>
    <row r="18" spans="2:7" ht="15.75">
      <c r="B18" s="105" t="s">
        <v>9</v>
      </c>
      <c r="C18" s="58"/>
      <c r="D18" s="106">
        <v>6</v>
      </c>
      <c r="E18" s="108"/>
      <c r="F18" s="108"/>
      <c r="G18" s="108"/>
    </row>
    <row r="19" spans="2:7" ht="15.75">
      <c r="B19" s="116">
        <f>IF(inputPrYr!D24="","","Computation to Determine State Library Grant")</f>
      </c>
      <c r="C19" s="58"/>
      <c r="D19" s="114">
        <f>IF(inputPrYr!D24="","",'Library Grant '!F40)</f>
      </c>
      <c r="E19" s="108"/>
      <c r="F19" s="108"/>
      <c r="G19" s="108"/>
    </row>
    <row r="20" spans="2:7" ht="15.75">
      <c r="B20" s="109" t="s">
        <v>10</v>
      </c>
      <c r="C20" s="110" t="s">
        <v>11</v>
      </c>
      <c r="D20" s="111"/>
      <c r="E20" s="52"/>
      <c r="F20" s="52"/>
      <c r="G20" s="52"/>
    </row>
    <row r="21" spans="2:7" ht="15.75">
      <c r="B21" s="33" t="str">
        <f>inputPrYr!B22</f>
        <v>General</v>
      </c>
      <c r="C21" s="112" t="str">
        <f>IF(inputPrYr!C22&gt;0,(inputPrYr!C22),"  ")</f>
        <v>12-101a</v>
      </c>
      <c r="D21" s="106">
        <f>IF(general!D62&gt;0,general!D62,"")</f>
        <v>7</v>
      </c>
      <c r="E21" s="478" t="str">
        <f>IF(general!$E$107&lt;&gt;0,general!$E$107,"  ")</f>
        <v>  </v>
      </c>
      <c r="F21" s="518">
        <f>IF(general!$E$114&lt;&gt;0,general!$E$114,0)</f>
        <v>0</v>
      </c>
      <c r="G21" s="517">
        <f>IF($G$50=0,"",ROUND(F21/$G$50*1000,3))</f>
      </c>
    </row>
    <row r="22" spans="2:7" ht="15.75">
      <c r="B22" s="51" t="str">
        <f>IF(inputPrYr!$B23&gt;"  ",(inputPrYr!$B23),"  ")</f>
        <v>Debt Service</v>
      </c>
      <c r="C22" s="112" t="str">
        <f>IF(inputPrYr!C23&gt;0,(inputPrYr!C23),"  ")</f>
        <v>10-113</v>
      </c>
      <c r="D22" s="106">
        <f>IF('DebtSvs-Library'!C87=0,"",'DebtSvs-Library'!C87)</f>
      </c>
      <c r="E22" s="478" t="str">
        <f>IF('DebtSvs-Library'!E35&lt;&gt;0,'DebtSvs-Library'!E35,"  ")</f>
        <v>  </v>
      </c>
      <c r="F22" s="518">
        <f>IF('DebtSvs-Library'!E42&lt;&gt;0,'DebtSvs-Library'!E42,0)</f>
        <v>0</v>
      </c>
      <c r="G22" s="517">
        <f>IF($G$50=0,"",ROUND(F22/$G$50*1000,3))</f>
      </c>
    </row>
    <row r="23" spans="2:7" ht="15.75">
      <c r="B23" s="51" t="str">
        <f>IF(inputPrYr!$B24&gt;"  ",(inputPrYr!$B24),"  ")</f>
        <v>Library</v>
      </c>
      <c r="C23" s="112" t="str">
        <f>IF(inputPrYr!C24&gt;0,(inputPrYr!C24),"  ")</f>
        <v>12-1220</v>
      </c>
      <c r="D23" s="106">
        <f>IF('DebtSvs-Library'!C87=0,"",'DebtSvs-Library'!C87)</f>
      </c>
      <c r="E23" s="478" t="str">
        <f>IF('DebtSvs-Library'!E74&lt;&gt;0,'DebtSvs-Library'!E74,"  ")</f>
        <v>  </v>
      </c>
      <c r="F23" s="518">
        <f>IF('DebtSvs-Library'!E81&lt;&gt;0,'DebtSvs-Library'!E81,0)</f>
        <v>0</v>
      </c>
      <c r="G23" s="517">
        <f>IF($G$50=0,"",ROUND(F23/$G$50*1000,3))</f>
      </c>
    </row>
    <row r="24" spans="2:7" ht="15.75">
      <c r="B24" s="51" t="str">
        <f>IF(inputPrYr!$B26&gt;"  ",(inputPrYr!$B26),"  ")</f>
        <v>  </v>
      </c>
      <c r="C24" s="112" t="str">
        <f>IF(inputPrYr!C26&gt;0,(inputPrYr!C26),"  ")</f>
        <v>  </v>
      </c>
      <c r="D24" s="106" t="str">
        <f>IF('levy page9'!C87&gt;0,'levy page9'!C87,"  ")</f>
        <v>  </v>
      </c>
      <c r="E24" s="478" t="str">
        <f>IF('levy page9'!$E$33&gt;0,'levy page9'!$E$33,"  ")</f>
        <v>  </v>
      </c>
      <c r="F24" s="518">
        <f>IF('levy page9'!$E$40&lt;&gt;0,'levy page9'!$E$40,0)</f>
        <v>0</v>
      </c>
      <c r="G24" s="517">
        <f aca="true" t="shared" si="0" ref="G24:G33">IF($G$50=0,"",ROUND(F24/$G$50*1000,3))</f>
      </c>
    </row>
    <row r="25" spans="2:7" ht="15.75">
      <c r="B25" s="51" t="str">
        <f>IF(inputPrYr!$B27&gt;"  ",(inputPrYr!$B27),"  ")</f>
        <v>  </v>
      </c>
      <c r="C25" s="112" t="str">
        <f>IF(inputPrYr!C27&gt;0,(inputPrYr!C27),"  ")</f>
        <v>  </v>
      </c>
      <c r="D25" s="106" t="str">
        <f>IF('levy page9'!C87&gt;0,'levy page9'!C87,"  ")</f>
        <v>  </v>
      </c>
      <c r="E25" s="478" t="str">
        <f>IF('levy page9'!$E$75&gt;0,'levy page9'!$E$75,"  ")</f>
        <v>  </v>
      </c>
      <c r="F25" s="518">
        <f>IF('levy page9'!$E$82&lt;&gt;0,'levy page9'!$E$82,0)</f>
        <v>0</v>
      </c>
      <c r="G25" s="517">
        <f t="shared" si="0"/>
      </c>
    </row>
    <row r="26" spans="2:7" ht="15.75">
      <c r="B26" s="51" t="str">
        <f>IF(inputPrYr!$B28&gt;"  ",(inputPrYr!$B28),"  ")</f>
        <v>  </v>
      </c>
      <c r="C26" s="112" t="str">
        <f>IF(inputPrYr!C28&gt;0,(inputPrYr!C28),"  ")</f>
        <v>  </v>
      </c>
      <c r="D26" s="106" t="str">
        <f>IF('levy page10'!C87&gt;0,'levy page10'!C87,"  ")</f>
        <v>  </v>
      </c>
      <c r="E26" s="478" t="str">
        <f>IF('levy page10'!$E$32&gt;0,'levy page10'!$E$32,"  ")</f>
        <v>  </v>
      </c>
      <c r="F26" s="518">
        <f>IF('levy page10'!$E$39&lt;&gt;0,'levy page10'!$E$39,0)</f>
        <v>0</v>
      </c>
      <c r="G26" s="517">
        <f t="shared" si="0"/>
      </c>
    </row>
    <row r="27" spans="2:7" ht="15.75">
      <c r="B27" s="51" t="str">
        <f>IF(inputPrYr!$B29&gt;"  ",(inputPrYr!$B29),"  ")</f>
        <v>  </v>
      </c>
      <c r="C27" s="112" t="str">
        <f>IF(inputPrYr!C29&gt;0,(inputPrYr!C29),"  ")</f>
        <v>  </v>
      </c>
      <c r="D27" s="106" t="str">
        <f>IF('levy page10'!C87&gt;0,'levy page10'!C87,"  ")</f>
        <v>  </v>
      </c>
      <c r="E27" s="478" t="str">
        <f>IF('levy page10'!$E$74&gt;0,'levy page10'!$E$74,"  ")</f>
        <v>  </v>
      </c>
      <c r="F27" s="518">
        <f>IF('levy page10'!$E$81&lt;&gt;0,'levy page10'!$E$81,0)</f>
        <v>0</v>
      </c>
      <c r="G27" s="517">
        <f t="shared" si="0"/>
      </c>
    </row>
    <row r="28" spans="2:7" ht="15.75">
      <c r="B28" s="51" t="str">
        <f>IF(inputPrYr!$B30&gt;"  ",(inputPrYr!$B30),"  ")</f>
        <v>  </v>
      </c>
      <c r="C28" s="112" t="str">
        <f>IF(inputPrYr!C30&gt;0,(inputPrYr!C30),"  ")</f>
        <v>  </v>
      </c>
      <c r="D28" s="106" t="str">
        <f>IF('levy page11'!C87&gt;0,'levy page11'!C87,"  ")</f>
        <v>  </v>
      </c>
      <c r="E28" s="478" t="str">
        <f>IF('levy page11'!$E$35&gt;0,'levy page11'!$E$35,"  ")</f>
        <v>  </v>
      </c>
      <c r="F28" s="518">
        <f>IF('levy page11'!$E$42&lt;&gt;0,'levy page11'!$E$42,0)</f>
        <v>0</v>
      </c>
      <c r="G28" s="517">
        <f t="shared" si="0"/>
      </c>
    </row>
    <row r="29" spans="2:7" ht="15.75">
      <c r="B29" s="51" t="str">
        <f>IF(inputPrYr!$B31&gt;"  ",(inputPrYr!$B31),"  ")</f>
        <v>  </v>
      </c>
      <c r="C29" s="112" t="str">
        <f>IF(inputPrYr!C31&gt;0,(inputPrYr!C31),"  ")</f>
        <v>  </v>
      </c>
      <c r="D29" s="106" t="str">
        <f>IF('levy page11'!C87&gt;0,'levy page11'!C87,"  ")</f>
        <v>  </v>
      </c>
      <c r="E29" s="478" t="str">
        <f>IF('levy page11'!$E$75&gt;0,'levy page11'!$E$75,"  ")</f>
        <v>  </v>
      </c>
      <c r="F29" s="518">
        <f>IF('levy page11'!$E$82&lt;&gt;0,'levy page11'!$E$82,0)</f>
        <v>0</v>
      </c>
      <c r="G29" s="517">
        <f t="shared" si="0"/>
      </c>
    </row>
    <row r="30" spans="2:7" ht="15.75">
      <c r="B30" s="51" t="str">
        <f>IF(inputPrYr!$B32&gt;"  ",(inputPrYr!$B32),"  ")</f>
        <v>  </v>
      </c>
      <c r="C30" s="112" t="str">
        <f>IF(inputPrYr!C32&gt;0,(inputPrYr!C32),"  ")</f>
        <v>  </v>
      </c>
      <c r="D30" s="106" t="str">
        <f>IF('levy page12'!C87&gt;0,'levy page12'!C87,"  ")</f>
        <v>  </v>
      </c>
      <c r="E30" s="478" t="str">
        <f>IF('levy page12'!$E$35&gt;0,'levy page12'!$E$35,"  ")</f>
        <v>  </v>
      </c>
      <c r="F30" s="518">
        <f>IF('levy page12'!$E$42&lt;&gt;0,'levy page12'!$E$42,0)</f>
        <v>0</v>
      </c>
      <c r="G30" s="517">
        <f t="shared" si="0"/>
      </c>
    </row>
    <row r="31" spans="2:7" ht="15.75">
      <c r="B31" s="51" t="str">
        <f>IF(inputPrYr!$B33&gt;"  ",(inputPrYr!$B33),"  ")</f>
        <v>  </v>
      </c>
      <c r="C31" s="112" t="str">
        <f>IF(inputPrYr!C33&gt;0,(inputPrYr!C33),"  ")</f>
        <v>  </v>
      </c>
      <c r="D31" s="106" t="str">
        <f>IF('levy page12'!C87&gt;0,'levy page12'!C87,"  ")</f>
        <v>  </v>
      </c>
      <c r="E31" s="478" t="str">
        <f>IF('levy page12'!$E$74&gt;0,'levy page12'!$E$74,"  ")</f>
        <v>  </v>
      </c>
      <c r="F31" s="518">
        <f>IF('levy page12'!$E$81&lt;&gt;0,'levy page12'!$E$81,0)</f>
        <v>0</v>
      </c>
      <c r="G31" s="517">
        <f t="shared" si="0"/>
      </c>
    </row>
    <row r="32" spans="2:7" ht="15.75">
      <c r="B32" s="51" t="str">
        <f>IF(inputPrYr!$B34&gt;"  ",(inputPrYr!$B34),"  ")</f>
        <v>  </v>
      </c>
      <c r="C32" s="112" t="str">
        <f>IF(inputPrYr!C34&gt;0,(inputPrYr!C34),"  ")</f>
        <v>  </v>
      </c>
      <c r="D32" s="106" t="str">
        <f>IF('levy page13'!C87&gt;0,'levy page13'!C87,"  ")</f>
        <v>  </v>
      </c>
      <c r="E32" s="478" t="str">
        <f>IF('levy page13'!$E$32&gt;0,'levy page13'!$E$32,"  ")</f>
        <v>  </v>
      </c>
      <c r="F32" s="518">
        <f>IF('levy page13'!$E$39&lt;&gt;0,'levy page13'!$E$39,0)</f>
        <v>0</v>
      </c>
      <c r="G32" s="517">
        <f t="shared" si="0"/>
      </c>
    </row>
    <row r="33" spans="2:7" ht="15.75">
      <c r="B33" s="51" t="str">
        <f>IF(inputPrYr!$B35&gt;"  ",(inputPrYr!$B35),"  ")</f>
        <v>  </v>
      </c>
      <c r="C33" s="112" t="str">
        <f>IF(inputPrYr!C35&gt;0,(inputPrYr!C35),"  ")</f>
        <v>  </v>
      </c>
      <c r="D33" s="106" t="str">
        <f>IF('levy page13'!C87&gt;0,'levy page13'!C87,"  ")</f>
        <v>  </v>
      </c>
      <c r="E33" s="478" t="str">
        <f>IF('levy page13'!$E$74&gt;0,'levy page13'!$E$74,"  ")</f>
        <v>  </v>
      </c>
      <c r="F33" s="518">
        <f>IF('levy page13'!$E$81&lt;&gt;0,'levy page13'!$E$81,0)</f>
        <v>0</v>
      </c>
      <c r="G33" s="517">
        <f t="shared" si="0"/>
      </c>
    </row>
    <row r="34" spans="2:7" ht="15.75">
      <c r="B34" s="113" t="str">
        <f>IF(inputPrYr!$B39&gt;"  ",(inputPrYr!$B39),"  ")</f>
        <v>Special Highway</v>
      </c>
      <c r="C34" s="58"/>
      <c r="D34" s="114" t="str">
        <f>IF('Sp Hiway'!C64&gt;0,'Sp Hiway'!C64,"  ")</f>
        <v>  </v>
      </c>
      <c r="E34" s="478" t="str">
        <f>IF('Sp Hiway'!$E$25&gt;0,'Sp Hiway'!$E$25,"  ")</f>
        <v>  </v>
      </c>
      <c r="F34" s="478"/>
      <c r="G34" s="521"/>
    </row>
    <row r="35" spans="2:7" ht="15.75">
      <c r="B35" s="113" t="str">
        <f>IF(inputPrYr!$B40&gt;"  ",(inputPrYr!$B40),"  ")</f>
        <v>  </v>
      </c>
      <c r="C35" s="58"/>
      <c r="D35" s="114" t="str">
        <f>IF('Sp Hiway'!C64&gt;0,'Sp Hiway'!C64,"  ")</f>
        <v>  </v>
      </c>
      <c r="E35" s="478" t="str">
        <f>IF('Sp Hiway'!$E$56&gt;0,'Sp Hiway'!$E$56,"  ")</f>
        <v>  </v>
      </c>
      <c r="F35" s="478"/>
      <c r="G35" s="521"/>
    </row>
    <row r="36" spans="2:7" ht="15.75">
      <c r="B36" s="113" t="str">
        <f>IF(inputPrYr!$B41&gt;"  ",(inputPrYr!$B41),"  ")</f>
        <v>  </v>
      </c>
      <c r="C36" s="58"/>
      <c r="D36" s="114" t="str">
        <f>IF(nolevypage15!C64&gt;0,nolevypage15!C64,"  ")</f>
        <v>  </v>
      </c>
      <c r="E36" s="478" t="str">
        <f>IF(nolevypage15!$E$25&gt;0,nolevypage15!$E$25,"  ")</f>
        <v>  </v>
      </c>
      <c r="F36" s="478"/>
      <c r="G36" s="521"/>
    </row>
    <row r="37" spans="2:7" ht="15.75">
      <c r="B37" s="113" t="str">
        <f>IF(inputPrYr!$B42&gt;"  ",(inputPrYr!$B42),"  ")</f>
        <v>  </v>
      </c>
      <c r="C37" s="58"/>
      <c r="D37" s="114" t="str">
        <f>IF(nolevypage15!C64&gt;0,nolevypage15!C64,"  ")</f>
        <v>  </v>
      </c>
      <c r="E37" s="478" t="str">
        <f>IF(nolevypage15!$E$56&gt;0,nolevypage15!$E$56,"  ")</f>
        <v>  </v>
      </c>
      <c r="F37" s="478"/>
      <c r="G37" s="521"/>
    </row>
    <row r="38" spans="2:7" ht="15.75">
      <c r="B38" s="113" t="str">
        <f>IF(inputPrYr!$B43&gt;"  ",(inputPrYr!$B43),"  ")</f>
        <v>  </v>
      </c>
      <c r="C38" s="58"/>
      <c r="D38" s="114" t="str">
        <f>IF(nolevypage16!C65&gt;0,nolevypage16!C65,"  ")</f>
        <v>  </v>
      </c>
      <c r="E38" s="478" t="str">
        <f>IF(nolevypage16!$E$26&gt;0,nolevypage16!$E$26,"  ")</f>
        <v>  </v>
      </c>
      <c r="F38" s="478"/>
      <c r="G38" s="521"/>
    </row>
    <row r="39" spans="2:7" ht="15.75">
      <c r="B39" s="115" t="str">
        <f>IF(inputPrYr!$B44&gt;"  ",(inputPrYr!$B44),"  ")</f>
        <v>  </v>
      </c>
      <c r="C39" s="58"/>
      <c r="D39" s="114" t="str">
        <f>IF(nolevypage16!C65&gt;0,nolevypage16!C65,"  ")</f>
        <v>  </v>
      </c>
      <c r="E39" s="478" t="str">
        <f>IF(nolevypage16!$E$57&gt;0,nolevypage16!$E$57,"  ")</f>
        <v>  </v>
      </c>
      <c r="F39" s="478"/>
      <c r="G39" s="521"/>
    </row>
    <row r="40" spans="2:7" ht="15.75">
      <c r="B40" s="113" t="str">
        <f>IF(inputPrYr!$B45&gt;"  ",(inputPrYr!$B45),"  ")</f>
        <v>  </v>
      </c>
      <c r="C40" s="58"/>
      <c r="D40" s="114" t="str">
        <f>IF(nolevypage17!C65&gt;0,nolevypage17!C65,"  ")</f>
        <v>  </v>
      </c>
      <c r="E40" s="478" t="str">
        <f>IF(nolevypage17!$E$26&gt;0,nolevypage17!$E$26,"  ")</f>
        <v>  </v>
      </c>
      <c r="F40" s="478"/>
      <c r="G40" s="521"/>
    </row>
    <row r="41" spans="2:7" ht="15.75">
      <c r="B41" s="113" t="str">
        <f>IF(inputPrYr!$B46&gt;"  ",(inputPrYr!$B46),"  ")</f>
        <v>  </v>
      </c>
      <c r="C41" s="58"/>
      <c r="D41" s="114" t="str">
        <f>IF(nolevypage17!C65&gt;0,nolevypage17!C65,"  ")</f>
        <v>  </v>
      </c>
      <c r="E41" s="478" t="str">
        <f>IF(nolevypage17!$E$57&gt;0,nolevypage17!$E$57,"  ")</f>
        <v>  </v>
      </c>
      <c r="F41" s="478"/>
      <c r="G41" s="521"/>
    </row>
    <row r="42" spans="2:7" ht="15.75">
      <c r="B42" s="113" t="str">
        <f>IF(inputPrYr!$B49&gt;"  ",(inputPrYr!$B49),"  ")</f>
        <v>  </v>
      </c>
      <c r="C42" s="55"/>
      <c r="D42" s="114" t="str">
        <f>IF(SinNoLevy18!$C$52&gt;0,SinNoLevy18!$C$52,"  ")</f>
        <v>  </v>
      </c>
      <c r="E42" s="478" t="str">
        <f>IF(SinNoLevy18!$E$44&gt;0,SinNoLevy18!$E$44,"  ")</f>
        <v>  </v>
      </c>
      <c r="F42" s="478"/>
      <c r="G42" s="521"/>
    </row>
    <row r="43" spans="2:7" ht="15.75">
      <c r="B43" s="113" t="str">
        <f>IF(inputPrYr!$B50&gt;"  ",(inputPrYr!$B50),"  ")</f>
        <v>  </v>
      </c>
      <c r="C43" s="55"/>
      <c r="D43" s="114" t="str">
        <f>IF(SinNoLevy19!$C$52&gt;0,SinNoLevy19!$C$52,"  ")</f>
        <v>  </v>
      </c>
      <c r="E43" s="478" t="str">
        <f>IF(SinNoLevy19!$E$44&gt;0,SinNoLevy19!$E$44,"  ")</f>
        <v>  </v>
      </c>
      <c r="F43" s="478"/>
      <c r="G43" s="521"/>
    </row>
    <row r="44" spans="2:7" ht="15.75">
      <c r="B44" s="113" t="str">
        <f>IF(inputPrYr!$B51&gt;"  ",(inputPrYr!$B51),"  ")</f>
        <v>  </v>
      </c>
      <c r="C44" s="55"/>
      <c r="D44" s="114" t="str">
        <f>IF(SinNoLevy20!$C$53&gt;0,SinNoLevy20!$C$53,"  ")</f>
        <v>  </v>
      </c>
      <c r="E44" s="478" t="str">
        <f>IF(SinNoLevy20!$E$45&gt;0,SinNoLevy20!$E$45,"  ")</f>
        <v>  </v>
      </c>
      <c r="F44" s="478"/>
      <c r="G44" s="521"/>
    </row>
    <row r="45" spans="2:7" ht="15.75">
      <c r="B45" s="113" t="str">
        <f>IF(inputPrYr!$B52&gt;"  ",(inputPrYr!$B52),"  ")</f>
        <v>  </v>
      </c>
      <c r="C45" s="55"/>
      <c r="D45" s="114" t="str">
        <f>IF(SinNoLevy21!$C$52&gt;0,SinNoLevy21!$C$52,"  ")</f>
        <v>  </v>
      </c>
      <c r="E45" s="478" t="str">
        <f>IF(SinNoLevy21!$E$44&gt;0,SinNoLevy21!$E$44,"  ")</f>
        <v>  </v>
      </c>
      <c r="F45" s="478"/>
      <c r="G45" s="521"/>
    </row>
    <row r="46" spans="2:7" ht="15.75">
      <c r="B46" s="113" t="str">
        <f>IF(inputPrYr!$B56&gt;"  ",(NonBudA!$A3),"  ")</f>
        <v>  </v>
      </c>
      <c r="C46" s="55"/>
      <c r="D46" s="114" t="str">
        <f>IF(NonBudA!F37&gt;0,NonBudA!F37,"  ")</f>
        <v>  </v>
      </c>
      <c r="E46" s="478"/>
      <c r="F46" s="478"/>
      <c r="G46" s="521"/>
    </row>
    <row r="47" spans="2:7" ht="16.5" thickBot="1">
      <c r="B47" s="113" t="str">
        <f>IF(inputPrYr!$B62&gt;"  ",(NonBudB!$A3),"  ")</f>
        <v>  </v>
      </c>
      <c r="C47" s="55"/>
      <c r="D47" s="114" t="str">
        <f>IF(NonBudB!F37&gt;0,NonBudB!F37,"  ")</f>
        <v>  </v>
      </c>
      <c r="E47" s="478"/>
      <c r="F47" s="478"/>
      <c r="G47" s="521"/>
    </row>
    <row r="48" spans="2:7" ht="16.5" thickBot="1">
      <c r="B48" s="336" t="s">
        <v>711</v>
      </c>
      <c r="C48" s="55"/>
      <c r="D48" s="194" t="s">
        <v>13</v>
      </c>
      <c r="E48" s="520">
        <f>SUM(E21:E47)</f>
        <v>0</v>
      </c>
      <c r="F48" s="520">
        <f>SUM(F21:F47)</f>
        <v>0</v>
      </c>
      <c r="G48" s="519">
        <f>IF(SUM(G21:G47)=0,"",SUM(G21:G47))</f>
      </c>
    </row>
    <row r="49" spans="2:7" ht="16.5" thickTop="1">
      <c r="B49" s="707"/>
      <c r="C49" s="118"/>
      <c r="D49" s="119"/>
      <c r="E49" s="475"/>
      <c r="F49" s="476"/>
      <c r="G49" s="509" t="s">
        <v>141</v>
      </c>
    </row>
    <row r="50" spans="2:7" ht="15.75">
      <c r="B50" s="105" t="s">
        <v>216</v>
      </c>
      <c r="C50" s="58"/>
      <c r="D50" s="106">
        <f>summ!D61</f>
        <v>0</v>
      </c>
      <c r="E50" s="117"/>
      <c r="F50" s="16"/>
      <c r="G50" s="345"/>
    </row>
    <row r="51" spans="2:7" ht="15.75">
      <c r="B51" s="105" t="s">
        <v>237</v>
      </c>
      <c r="C51" s="58"/>
      <c r="D51" s="106">
        <f>IF(nhood!C40&gt;0,nhood!C40,"")</f>
      </c>
      <c r="E51" s="117"/>
      <c r="F51" s="16"/>
      <c r="G51" s="992" t="str">
        <f>CONCATENATE("Nov 1, ",G1-1," Total Assessed Valuation")</f>
        <v>Nov 1, -1 Total Assessed Valuation</v>
      </c>
    </row>
    <row r="52" spans="2:7" ht="15.75">
      <c r="B52" s="340"/>
      <c r="C52" s="341"/>
      <c r="D52" s="342"/>
      <c r="E52" s="338"/>
      <c r="F52" s="339"/>
      <c r="G52" s="993"/>
    </row>
    <row r="53" spans="2:7" ht="15.75">
      <c r="B53" s="874" t="s">
        <v>1059</v>
      </c>
      <c r="C53" s="751"/>
      <c r="D53" s="754"/>
      <c r="E53" s="338"/>
      <c r="F53" s="957" t="e">
        <f>Comp3!J16</f>
        <v>#DIV/0!</v>
      </c>
      <c r="G53" s="339"/>
    </row>
    <row r="54" spans="2:7" ht="15.75">
      <c r="B54" s="874" t="s">
        <v>1004</v>
      </c>
      <c r="C54" s="751"/>
      <c r="D54" s="754"/>
      <c r="E54" s="338"/>
      <c r="F54" s="964" t="e">
        <f>IF(F48&gt;F53,"YES","NO")</f>
        <v>#DIV/0!</v>
      </c>
      <c r="G54" s="339"/>
    </row>
    <row r="55" spans="2:7" ht="15.75">
      <c r="B55" s="753"/>
      <c r="C55" s="751"/>
      <c r="D55" s="754"/>
      <c r="E55" s="338"/>
      <c r="F55" s="339"/>
      <c r="G55" s="339"/>
    </row>
    <row r="56" spans="2:7" ht="15.75">
      <c r="B56" s="47" t="s">
        <v>14</v>
      </c>
      <c r="C56" s="46"/>
      <c r="D56" s="16"/>
      <c r="E56" s="337"/>
      <c r="F56" s="46"/>
      <c r="G56" s="46"/>
    </row>
    <row r="57" spans="2:7" ht="15.75">
      <c r="B57" s="294"/>
      <c r="C57" s="46"/>
      <c r="D57" s="46" t="s">
        <v>756</v>
      </c>
      <c r="E57" s="515"/>
      <c r="F57" s="46"/>
      <c r="G57" s="46"/>
    </row>
    <row r="58" spans="2:7" ht="15.75">
      <c r="B58" s="293"/>
      <c r="C58" s="16"/>
      <c r="D58" s="47"/>
      <c r="E58" s="516"/>
      <c r="F58" s="46"/>
      <c r="G58" s="46"/>
    </row>
    <row r="59" spans="2:7" ht="15.75">
      <c r="B59" s="47" t="s">
        <v>144</v>
      </c>
      <c r="C59" s="46"/>
      <c r="D59" s="46" t="s">
        <v>756</v>
      </c>
      <c r="E59" s="514"/>
      <c r="F59" s="221"/>
      <c r="G59" s="221"/>
    </row>
    <row r="60" spans="2:7" ht="15.75">
      <c r="B60" s="294"/>
      <c r="C60" s="19"/>
      <c r="D60" s="46"/>
      <c r="E60" s="46"/>
      <c r="F60" s="16"/>
      <c r="G60" s="16"/>
    </row>
    <row r="61" spans="2:7" ht="15.75">
      <c r="B61" s="293"/>
      <c r="C61" s="120"/>
      <c r="D61" s="46" t="s">
        <v>756</v>
      </c>
      <c r="E61" s="46"/>
      <c r="F61" s="221"/>
      <c r="G61" s="221"/>
    </row>
    <row r="62" spans="2:7" ht="15.75">
      <c r="B62" s="47" t="s">
        <v>816</v>
      </c>
      <c r="C62" s="46"/>
      <c r="D62" s="16"/>
      <c r="E62" s="16"/>
      <c r="F62" s="16"/>
      <c r="G62" s="16"/>
    </row>
    <row r="63" spans="2:7" ht="15.75">
      <c r="B63" s="294"/>
      <c r="C63" s="121"/>
      <c r="D63" s="46" t="s">
        <v>756</v>
      </c>
      <c r="E63" s="46"/>
      <c r="F63" s="221"/>
      <c r="G63" s="221"/>
    </row>
    <row r="64" spans="2:7" ht="15.75">
      <c r="B64" s="20" t="s">
        <v>229</v>
      </c>
      <c r="C64" s="122">
        <f>G1-1</f>
        <v>-1</v>
      </c>
      <c r="D64" s="16"/>
      <c r="E64" s="16"/>
      <c r="F64" s="24"/>
      <c r="G64" s="16"/>
    </row>
    <row r="65" spans="2:7" ht="15.75">
      <c r="B65" s="481"/>
      <c r="C65" s="16"/>
      <c r="D65" s="46" t="s">
        <v>756</v>
      </c>
      <c r="E65" s="46"/>
      <c r="F65" s="46"/>
      <c r="G65" s="46"/>
    </row>
    <row r="66" spans="2:7" ht="15.75">
      <c r="B66" s="30" t="s">
        <v>16</v>
      </c>
      <c r="C66" s="16"/>
      <c r="D66" s="990" t="s">
        <v>15</v>
      </c>
      <c r="E66" s="991"/>
      <c r="F66" s="991"/>
      <c r="G66" s="991"/>
    </row>
    <row r="67" spans="2:7" ht="15.75">
      <c r="B67" s="753"/>
      <c r="C67" s="751"/>
      <c r="D67" s="754"/>
      <c r="E67" s="338"/>
      <c r="F67" s="339"/>
      <c r="G67" s="753"/>
    </row>
    <row r="68" spans="2:7" ht="15.75">
      <c r="B68" s="960" t="s">
        <v>999</v>
      </c>
      <c r="C68" s="824"/>
      <c r="D68" s="825"/>
      <c r="E68" s="826"/>
      <c r="F68" s="827"/>
      <c r="G68" s="828"/>
    </row>
    <row r="69" spans="2:7" ht="15.75">
      <c r="B69" s="829"/>
      <c r="C69" s="751"/>
      <c r="D69" s="754"/>
      <c r="E69" s="338"/>
      <c r="F69" s="339"/>
      <c r="G69" s="830"/>
    </row>
    <row r="70" spans="2:7" ht="15.75">
      <c r="B70" s="831"/>
      <c r="C70" s="832"/>
      <c r="D70" s="833"/>
      <c r="E70" s="834"/>
      <c r="F70" s="835"/>
      <c r="G70" s="836"/>
    </row>
    <row r="71" spans="2:7" ht="15.75">
      <c r="B71" s="753"/>
      <c r="C71" s="751"/>
      <c r="D71" s="754"/>
      <c r="E71" s="338"/>
      <c r="F71" s="339"/>
      <c r="G71" s="753"/>
    </row>
    <row r="77" spans="2:7" ht="15">
      <c r="B77" s="64"/>
      <c r="C77" s="64"/>
      <c r="D77" s="64"/>
      <c r="E77" s="64"/>
      <c r="F77" s="64"/>
      <c r="G77" s="64"/>
    </row>
    <row r="78" spans="2:7" ht="15">
      <c r="B78" s="64"/>
      <c r="C78" s="64"/>
      <c r="D78" s="64"/>
      <c r="E78" s="64"/>
      <c r="F78" s="64"/>
      <c r="G78" s="64"/>
    </row>
    <row r="79" spans="2:7" ht="15">
      <c r="B79" s="64"/>
      <c r="C79" s="64"/>
      <c r="D79" s="64"/>
      <c r="E79" s="64"/>
      <c r="F79" s="64"/>
      <c r="G79" s="64"/>
    </row>
    <row r="80" spans="2:7" ht="15">
      <c r="B80" s="64"/>
      <c r="C80" s="64"/>
      <c r="D80" s="64"/>
      <c r="E80" s="64"/>
      <c r="F80" s="64"/>
      <c r="G80" s="64"/>
    </row>
    <row r="81" spans="2:7" ht="15">
      <c r="B81" s="64"/>
      <c r="C81" s="64"/>
      <c r="D81" s="64"/>
      <c r="E81" s="64"/>
      <c r="F81" s="64"/>
      <c r="G81" s="64"/>
    </row>
    <row r="82" spans="2:7" ht="15">
      <c r="B82" s="64"/>
      <c r="C82" s="64"/>
      <c r="D82" s="64"/>
      <c r="E82" s="64"/>
      <c r="F82" s="64"/>
      <c r="G82" s="64"/>
    </row>
    <row r="83" spans="2:7" ht="15">
      <c r="B83" s="64"/>
      <c r="C83" s="64"/>
      <c r="D83" s="64"/>
      <c r="E83" s="64"/>
      <c r="F83" s="64"/>
      <c r="G83" s="64"/>
    </row>
    <row r="84" spans="2:7" ht="15">
      <c r="B84" s="64"/>
      <c r="C84" s="64"/>
      <c r="D84" s="64"/>
      <c r="E84" s="64"/>
      <c r="F84" s="64"/>
      <c r="G84" s="64"/>
    </row>
    <row r="85" spans="2:7" ht="15">
      <c r="B85" s="64"/>
      <c r="C85" s="64"/>
      <c r="D85" s="64"/>
      <c r="E85" s="64"/>
      <c r="F85" s="64"/>
      <c r="G85" s="64"/>
    </row>
    <row r="86" spans="2:7" ht="15">
      <c r="B86" s="64"/>
      <c r="C86" s="64"/>
      <c r="D86" s="64"/>
      <c r="E86" s="64"/>
      <c r="F86" s="64"/>
      <c r="G86" s="64"/>
    </row>
    <row r="87" spans="2:7" ht="15">
      <c r="B87" s="64"/>
      <c r="C87" s="64"/>
      <c r="D87" s="64"/>
      <c r="E87" s="64"/>
      <c r="F87" s="64"/>
      <c r="G87" s="64"/>
    </row>
    <row r="88" spans="2:7" ht="15">
      <c r="B88" s="64"/>
      <c r="C88" s="64"/>
      <c r="D88" s="64"/>
      <c r="E88" s="64"/>
      <c r="F88" s="64"/>
      <c r="G88" s="64"/>
    </row>
    <row r="89" spans="2:7" ht="15">
      <c r="B89" s="64"/>
      <c r="C89" s="64"/>
      <c r="D89" s="64"/>
      <c r="E89" s="64"/>
      <c r="F89" s="64"/>
      <c r="G89" s="64"/>
    </row>
    <row r="90" spans="2:7" ht="15">
      <c r="B90" s="64"/>
      <c r="C90" s="64"/>
      <c r="D90" s="64"/>
      <c r="E90" s="64"/>
      <c r="F90" s="64"/>
      <c r="G90" s="64"/>
    </row>
    <row r="91" spans="2:7" ht="15">
      <c r="B91" s="64"/>
      <c r="C91" s="64"/>
      <c r="D91" s="64"/>
      <c r="E91" s="64"/>
      <c r="F91" s="64"/>
      <c r="G91" s="64"/>
    </row>
    <row r="92" spans="2:7" ht="15">
      <c r="B92" s="64"/>
      <c r="C92" s="64"/>
      <c r="D92" s="64"/>
      <c r="E92" s="64"/>
      <c r="F92" s="64"/>
      <c r="G92" s="64"/>
    </row>
    <row r="95" spans="2:7" ht="15.75">
      <c r="B95" s="3"/>
      <c r="C95" s="3"/>
      <c r="D95" s="3"/>
      <c r="E95" s="3"/>
      <c r="F95" s="3"/>
      <c r="G95" s="3"/>
    </row>
  </sheetData>
  <sheetProtection/>
  <mergeCells count="4">
    <mergeCell ref="B5:G5"/>
    <mergeCell ref="B3:G3"/>
    <mergeCell ref="D66:G66"/>
    <mergeCell ref="G51:G52"/>
  </mergeCells>
  <printOptions/>
  <pageMargins left="1" right="0.5" top="0.75" bottom="0.5" header="0.5" footer="0.25"/>
  <pageSetup blackAndWhite="1" fitToHeight="1" fitToWidth="1" horizontalDpi="120" verticalDpi="120" orientation="portrait" scale="66"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52"/>
  <sheetViews>
    <sheetView zoomScale="85" zoomScaleNormal="85" zoomScalePageLayoutView="0" workbookViewId="0" topLeftCell="A11">
      <selection activeCell="J45" sqref="J45"/>
    </sheetView>
  </sheetViews>
  <sheetFormatPr defaultColWidth="8.796875" defaultRowHeight="15.75" customHeight="1"/>
  <cols>
    <col min="1" max="1" width="2.8984375" style="3" customWidth="1"/>
    <col min="2" max="2" width="3.296875" style="3" customWidth="1"/>
    <col min="3" max="3" width="31.296875" style="3" customWidth="1"/>
    <col min="4" max="4" width="2.296875" style="3" customWidth="1"/>
    <col min="5" max="5" width="19.19921875" style="3" customWidth="1"/>
    <col min="6" max="6" width="2" style="3" customWidth="1"/>
    <col min="7" max="7" width="15.796875" style="3" customWidth="1"/>
    <col min="8" max="8" width="1.8984375" style="3" customWidth="1"/>
    <col min="9" max="9" width="1.796875" style="3" customWidth="1"/>
    <col min="10" max="10" width="15.796875" style="3" customWidth="1"/>
    <col min="11" max="16384" width="8.8984375" style="3" customWidth="1"/>
  </cols>
  <sheetData>
    <row r="1" spans="1:10" ht="15.75" customHeight="1">
      <c r="A1" s="16"/>
      <c r="B1" s="16"/>
      <c r="C1" s="124">
        <f>inputPrYr!D3</f>
        <v>0</v>
      </c>
      <c r="D1" s="16"/>
      <c r="E1" s="16"/>
      <c r="F1" s="16"/>
      <c r="G1" s="16"/>
      <c r="H1" s="16"/>
      <c r="I1" s="16"/>
      <c r="J1" s="150">
        <f>inputPrYr!C6</f>
        <v>0</v>
      </c>
    </row>
    <row r="2" spans="1:10" ht="15.75" customHeight="1">
      <c r="A2" s="16"/>
      <c r="B2" s="16"/>
      <c r="C2" s="16"/>
      <c r="D2" s="16"/>
      <c r="E2" s="16"/>
      <c r="F2" s="16"/>
      <c r="G2" s="16"/>
      <c r="H2" s="16"/>
      <c r="I2" s="16"/>
      <c r="J2" s="16"/>
    </row>
    <row r="3" spans="1:10" ht="15.75">
      <c r="A3" s="22" t="str">
        <f>CONCATENATE("Computation to Determine Limit for ",J1)</f>
        <v>Computation to Determine Limit for 0</v>
      </c>
      <c r="B3" s="875"/>
      <c r="C3" s="875"/>
      <c r="D3" s="875"/>
      <c r="E3" s="875"/>
      <c r="F3" s="875"/>
      <c r="G3" s="875"/>
      <c r="H3" s="875"/>
      <c r="I3" s="875"/>
      <c r="J3" s="875"/>
    </row>
    <row r="4" spans="1:10" ht="15.75">
      <c r="A4" s="16"/>
      <c r="B4" s="16"/>
      <c r="C4" s="16"/>
      <c r="D4" s="16"/>
      <c r="E4" s="994"/>
      <c r="F4" s="994"/>
      <c r="G4" s="994"/>
      <c r="H4" s="125"/>
      <c r="I4" s="16"/>
      <c r="J4" s="126" t="s">
        <v>98</v>
      </c>
    </row>
    <row r="5" spans="1:10" ht="15.75">
      <c r="A5" s="876" t="s">
        <v>99</v>
      </c>
      <c r="B5" s="16" t="str">
        <f>CONCATENATE("Total tax levy amount in ",J1-1," budget")</f>
        <v>Total tax levy amount in -1 budget</v>
      </c>
      <c r="C5" s="16"/>
      <c r="D5" s="16"/>
      <c r="E5" s="37"/>
      <c r="F5" s="37"/>
      <c r="G5" s="37"/>
      <c r="H5" s="128" t="s">
        <v>100</v>
      </c>
      <c r="I5" s="37" t="s">
        <v>101</v>
      </c>
      <c r="J5" s="129">
        <f>inputPrYr!E36</f>
        <v>0</v>
      </c>
    </row>
    <row r="6" spans="1:10" ht="15.75">
      <c r="A6" s="876" t="s">
        <v>102</v>
      </c>
      <c r="B6" s="16" t="str">
        <f>CONCATENATE("Library levy in ",J1-1," budget")</f>
        <v>Library levy in -1 budget</v>
      </c>
      <c r="C6" s="16"/>
      <c r="D6" s="16"/>
      <c r="E6" s="37"/>
      <c r="F6" s="37"/>
      <c r="G6" s="37"/>
      <c r="H6" s="128" t="s">
        <v>103</v>
      </c>
      <c r="I6" s="37" t="s">
        <v>101</v>
      </c>
      <c r="J6" s="877"/>
    </row>
    <row r="7" spans="1:10" ht="15.75">
      <c r="A7" s="127"/>
      <c r="B7" s="16" t="str">
        <f>CONCATENATE("Other tax entity levy in ",J1-1," budget")</f>
        <v>Other tax entity levy in -1 budget</v>
      </c>
      <c r="C7" s="16"/>
      <c r="D7" s="16"/>
      <c r="E7" s="37"/>
      <c r="F7" s="37"/>
      <c r="G7" s="37"/>
      <c r="H7" s="128" t="s">
        <v>103</v>
      </c>
      <c r="I7" s="37" t="s">
        <v>101</v>
      </c>
      <c r="J7" s="877"/>
    </row>
    <row r="8" spans="1:10" ht="15.75">
      <c r="A8" s="876" t="s">
        <v>127</v>
      </c>
      <c r="B8" s="16" t="s">
        <v>1006</v>
      </c>
      <c r="C8" s="16"/>
      <c r="D8" s="16"/>
      <c r="E8" s="37"/>
      <c r="F8" s="37"/>
      <c r="G8" s="37"/>
      <c r="H8" s="37"/>
      <c r="I8" s="37" t="s">
        <v>101</v>
      </c>
      <c r="J8" s="42">
        <f>J5-J6-J7</f>
        <v>0</v>
      </c>
    </row>
    <row r="9" spans="1:10" ht="15.75">
      <c r="A9" s="16"/>
      <c r="B9" s="16"/>
      <c r="C9" s="16"/>
      <c r="D9" s="16"/>
      <c r="E9" s="37"/>
      <c r="F9" s="37"/>
      <c r="G9" s="37"/>
      <c r="H9" s="37"/>
      <c r="I9" s="37"/>
      <c r="J9" s="37"/>
    </row>
    <row r="10" spans="1:10" ht="15.75">
      <c r="A10" s="994" t="str">
        <f>CONCATENATE(J1," Budget Percentage Adjustments")</f>
        <v>0 Budget Percentage Adjustments</v>
      </c>
      <c r="B10" s="969"/>
      <c r="C10" s="969"/>
      <c r="D10" s="969"/>
      <c r="E10" s="969"/>
      <c r="F10" s="969"/>
      <c r="G10" s="969"/>
      <c r="H10" s="969"/>
      <c r="I10" s="969"/>
      <c r="J10" s="969"/>
    </row>
    <row r="11" spans="1:10" ht="15.75">
      <c r="A11" s="16"/>
      <c r="B11" s="16"/>
      <c r="C11" s="16"/>
      <c r="D11" s="16"/>
      <c r="E11" s="37"/>
      <c r="F11" s="37"/>
      <c r="G11" s="37"/>
      <c r="H11" s="37"/>
      <c r="I11" s="37"/>
      <c r="J11" s="37"/>
    </row>
    <row r="12" spans="1:10" ht="15.75">
      <c r="A12" s="876" t="s">
        <v>104</v>
      </c>
      <c r="B12" s="16" t="str">
        <f>CONCATENATE("New improvements for ",J1-1," :")</f>
        <v>New improvements for -1 :</v>
      </c>
      <c r="C12" s="16"/>
      <c r="D12" s="16"/>
      <c r="E12" s="128"/>
      <c r="F12" s="128" t="s">
        <v>100</v>
      </c>
      <c r="G12" s="129">
        <f>inputOth!E8</f>
        <v>0</v>
      </c>
      <c r="H12" s="44"/>
      <c r="I12" s="37"/>
      <c r="J12" s="37"/>
    </row>
    <row r="13" spans="1:10" ht="15.75">
      <c r="A13" s="127"/>
      <c r="B13" s="130"/>
      <c r="C13" s="16"/>
      <c r="D13" s="16"/>
      <c r="E13" s="128"/>
      <c r="F13" s="128"/>
      <c r="G13" s="44"/>
      <c r="H13" s="44"/>
      <c r="I13" s="37"/>
      <c r="J13" s="37"/>
    </row>
    <row r="14" spans="1:10" ht="15.75">
      <c r="A14" s="876" t="s">
        <v>105</v>
      </c>
      <c r="B14" s="16" t="str">
        <f>CONCATENATE("Increase in personal property for ",J1-1," :")</f>
        <v>Increase in personal property for -1 :</v>
      </c>
      <c r="C14" s="16"/>
      <c r="D14" s="16"/>
      <c r="E14" s="128"/>
      <c r="F14" s="128"/>
      <c r="G14" s="44"/>
      <c r="H14" s="44"/>
      <c r="I14" s="37"/>
      <c r="J14" s="37"/>
    </row>
    <row r="15" spans="1:13" ht="15.75">
      <c r="A15" s="93"/>
      <c r="B15" s="16" t="s">
        <v>106</v>
      </c>
      <c r="C15" s="16" t="str">
        <f>CONCATENATE("Personal property ",J1-1)</f>
        <v>Personal property -1</v>
      </c>
      <c r="D15" s="130" t="s">
        <v>100</v>
      </c>
      <c r="E15" s="129">
        <f>inputOth!E9</f>
        <v>0</v>
      </c>
      <c r="F15" s="128"/>
      <c r="G15" s="37"/>
      <c r="H15" s="37"/>
      <c r="I15" s="44"/>
      <c r="J15" s="37"/>
      <c r="M15" s="4"/>
    </row>
    <row r="16" spans="1:10" ht="15.75">
      <c r="A16" s="130"/>
      <c r="B16" s="16" t="s">
        <v>107</v>
      </c>
      <c r="C16" s="16" t="str">
        <f>CONCATENATE("Personal property ",J1-2)</f>
        <v>Personal property -2</v>
      </c>
      <c r="D16" s="130" t="s">
        <v>103</v>
      </c>
      <c r="E16" s="42">
        <f>inputOth!E15</f>
        <v>0</v>
      </c>
      <c r="F16" s="128"/>
      <c r="G16" s="44"/>
      <c r="H16" s="44"/>
      <c r="I16" s="37"/>
      <c r="J16" s="37"/>
    </row>
    <row r="17" spans="1:10" ht="15.75">
      <c r="A17" s="130"/>
      <c r="B17" s="16" t="s">
        <v>108</v>
      </c>
      <c r="C17" s="16" t="s">
        <v>922</v>
      </c>
      <c r="D17" s="16"/>
      <c r="E17" s="37"/>
      <c r="F17" s="37" t="s">
        <v>100</v>
      </c>
      <c r="G17" s="129">
        <f>IF(E15&gt;E16,E15-E16,0)</f>
        <v>0</v>
      </c>
      <c r="H17" s="44"/>
      <c r="I17" s="37"/>
      <c r="J17" s="37"/>
    </row>
    <row r="18" spans="1:10" ht="15.75">
      <c r="A18" s="130"/>
      <c r="B18" s="130"/>
      <c r="C18" s="16"/>
      <c r="D18" s="16"/>
      <c r="E18" s="37"/>
      <c r="F18" s="37"/>
      <c r="G18" s="44" t="s">
        <v>121</v>
      </c>
      <c r="H18" s="44"/>
      <c r="I18" s="37"/>
      <c r="J18" s="37"/>
    </row>
    <row r="19" spans="1:10" ht="15.75">
      <c r="A19" s="130" t="s">
        <v>109</v>
      </c>
      <c r="B19" s="16" t="str">
        <f>CONCATENATE("Valuation of annexed territory for ",J1-1," :")</f>
        <v>Valuation of annexed territory for -1 :</v>
      </c>
      <c r="C19" s="16"/>
      <c r="D19" s="16"/>
      <c r="E19" s="44"/>
      <c r="F19" s="37"/>
      <c r="G19" s="37"/>
      <c r="H19" s="37"/>
      <c r="I19" s="37"/>
      <c r="J19" s="37"/>
    </row>
    <row r="20" spans="1:15" ht="15.75">
      <c r="A20" s="130"/>
      <c r="B20" s="16" t="s">
        <v>110</v>
      </c>
      <c r="C20" s="16" t="s">
        <v>923</v>
      </c>
      <c r="D20" s="130" t="s">
        <v>100</v>
      </c>
      <c r="E20" s="129">
        <f>inputOth!E11</f>
        <v>0</v>
      </c>
      <c r="F20" s="37"/>
      <c r="G20" s="37"/>
      <c r="H20" s="37"/>
      <c r="I20" s="37"/>
      <c r="J20" s="37"/>
      <c r="O20" s="4"/>
    </row>
    <row r="21" spans="1:10" ht="15.75">
      <c r="A21" s="130"/>
      <c r="B21" s="16" t="s">
        <v>111</v>
      </c>
      <c r="C21" s="16" t="s">
        <v>924</v>
      </c>
      <c r="D21" s="130" t="s">
        <v>100</v>
      </c>
      <c r="E21" s="42">
        <f>inputOth!E12</f>
        <v>0</v>
      </c>
      <c r="F21" s="37"/>
      <c r="G21" s="44"/>
      <c r="H21" s="44"/>
      <c r="I21" s="37"/>
      <c r="J21" s="37"/>
    </row>
    <row r="22" spans="1:10" ht="15.75">
      <c r="A22" s="130"/>
      <c r="B22" s="16" t="s">
        <v>112</v>
      </c>
      <c r="C22" s="16" t="s">
        <v>925</v>
      </c>
      <c r="D22" s="130" t="s">
        <v>100</v>
      </c>
      <c r="E22" s="42">
        <f>inputOth!E13</f>
        <v>0</v>
      </c>
      <c r="F22" s="37"/>
      <c r="G22" s="44"/>
      <c r="H22" s="44"/>
      <c r="I22" s="37"/>
      <c r="J22" s="37"/>
    </row>
    <row r="23" spans="1:10" ht="15.75">
      <c r="A23" s="130"/>
      <c r="B23" s="16" t="s">
        <v>113</v>
      </c>
      <c r="C23" s="16" t="s">
        <v>926</v>
      </c>
      <c r="D23" s="130"/>
      <c r="E23" s="44"/>
      <c r="F23" s="37" t="s">
        <v>100</v>
      </c>
      <c r="G23" s="129">
        <f>E20+E21+E22</f>
        <v>0</v>
      </c>
      <c r="H23" s="44"/>
      <c r="I23" s="37"/>
      <c r="J23" s="37"/>
    </row>
    <row r="24" spans="1:10" ht="15.75">
      <c r="A24" s="130"/>
      <c r="B24" s="130"/>
      <c r="C24" s="16"/>
      <c r="D24" s="130"/>
      <c r="E24" s="44"/>
      <c r="F24" s="37"/>
      <c r="G24" s="44"/>
      <c r="H24" s="44"/>
      <c r="I24" s="37"/>
      <c r="J24" s="37"/>
    </row>
    <row r="25" spans="1:10" ht="15.75">
      <c r="A25" s="130" t="s">
        <v>114</v>
      </c>
      <c r="B25" s="16" t="str">
        <f>CONCATENATE("Valuation of property that has changed in use during ",J1-1," :")</f>
        <v>Valuation of property that has changed in use during -1 :</v>
      </c>
      <c r="C25" s="16"/>
      <c r="D25" s="16"/>
      <c r="E25" s="37"/>
      <c r="F25" s="128" t="s">
        <v>100</v>
      </c>
      <c r="G25" s="129">
        <f>inputOth!E14</f>
        <v>0</v>
      </c>
      <c r="H25" s="37"/>
      <c r="I25" s="37"/>
      <c r="J25" s="37"/>
    </row>
    <row r="26" spans="1:10" ht="15.75">
      <c r="A26" s="130"/>
      <c r="B26" s="16"/>
      <c r="C26" s="16"/>
      <c r="D26" s="16"/>
      <c r="E26" s="37"/>
      <c r="F26" s="128"/>
      <c r="G26" s="44"/>
      <c r="H26" s="37"/>
      <c r="I26" s="37"/>
      <c r="J26" s="37"/>
    </row>
    <row r="27" spans="1:10" ht="15.75">
      <c r="A27" s="878" t="s">
        <v>115</v>
      </c>
      <c r="B27" s="16" t="s">
        <v>1007</v>
      </c>
      <c r="C27" s="16"/>
      <c r="D27" s="16"/>
      <c r="E27" s="37"/>
      <c r="F27" s="128" t="s">
        <v>100</v>
      </c>
      <c r="G27" s="965">
        <f>inputOth!E16</f>
        <v>0</v>
      </c>
      <c r="H27" s="37"/>
      <c r="I27" s="37"/>
      <c r="J27" s="37"/>
    </row>
    <row r="28" spans="1:10" ht="15.75">
      <c r="A28" s="878"/>
      <c r="B28" s="16"/>
      <c r="C28" s="16"/>
      <c r="D28" s="16"/>
      <c r="E28" s="37"/>
      <c r="F28" s="128"/>
      <c r="G28" s="44"/>
      <c r="H28" s="37"/>
      <c r="I28" s="37"/>
      <c r="J28" s="37"/>
    </row>
    <row r="29" spans="1:10" ht="15.75">
      <c r="A29" s="878" t="s">
        <v>116</v>
      </c>
      <c r="B29" s="16" t="s">
        <v>1008</v>
      </c>
      <c r="C29" s="16"/>
      <c r="D29" s="16"/>
      <c r="E29" s="37"/>
      <c r="F29" s="128" t="s">
        <v>100</v>
      </c>
      <c r="G29" s="879"/>
      <c r="H29" s="37"/>
      <c r="I29" s="37"/>
      <c r="J29" s="37"/>
    </row>
    <row r="30" spans="1:10" ht="15.75">
      <c r="A30" s="878"/>
      <c r="B30" s="16" t="s">
        <v>1009</v>
      </c>
      <c r="C30" s="16"/>
      <c r="D30" s="16"/>
      <c r="E30" s="37"/>
      <c r="F30" s="128"/>
      <c r="G30" s="44"/>
      <c r="H30" s="37"/>
      <c r="I30" s="37"/>
      <c r="J30" s="37"/>
    </row>
    <row r="31" spans="1:10" ht="15.75">
      <c r="A31" s="16" t="s">
        <v>1</v>
      </c>
      <c r="B31" s="16"/>
      <c r="C31" s="16"/>
      <c r="D31" s="130"/>
      <c r="E31" s="44"/>
      <c r="F31" s="37"/>
      <c r="G31" s="37"/>
      <c r="H31" s="37"/>
      <c r="I31" s="37"/>
      <c r="J31" s="37"/>
    </row>
    <row r="32" spans="1:10" ht="15.75">
      <c r="A32" s="880" t="s">
        <v>117</v>
      </c>
      <c r="B32" s="16" t="s">
        <v>1010</v>
      </c>
      <c r="C32" s="16"/>
      <c r="D32" s="16"/>
      <c r="E32" s="37"/>
      <c r="F32" s="37"/>
      <c r="G32" s="129">
        <f>G12+G17+G23+G25+G27+G29</f>
        <v>0</v>
      </c>
      <c r="H32" s="44"/>
      <c r="I32" s="37"/>
      <c r="J32" s="37"/>
    </row>
    <row r="33" spans="1:10" ht="15.75">
      <c r="A33" s="880"/>
      <c r="B33" s="130"/>
      <c r="C33" s="16"/>
      <c r="D33" s="16"/>
      <c r="E33" s="37"/>
      <c r="F33" s="37"/>
      <c r="G33" s="44"/>
      <c r="H33" s="44"/>
      <c r="I33" s="37"/>
      <c r="J33" s="37"/>
    </row>
    <row r="34" spans="1:10" ht="15.75">
      <c r="A34" s="880" t="s">
        <v>118</v>
      </c>
      <c r="B34" s="16" t="str">
        <f>CONCATENATE("Total estimated valuation July 1, ",J1-1)</f>
        <v>Total estimated valuation July 1, -1</v>
      </c>
      <c r="C34" s="16"/>
      <c r="D34" s="16"/>
      <c r="E34" s="129">
        <f>inputOth!E7</f>
        <v>0</v>
      </c>
      <c r="F34" s="37"/>
      <c r="G34" s="37"/>
      <c r="H34" s="37"/>
      <c r="I34" s="128"/>
      <c r="J34" s="37"/>
    </row>
    <row r="35" spans="1:10" ht="15.75">
      <c r="A35" s="880"/>
      <c r="B35" s="130"/>
      <c r="C35" s="16"/>
      <c r="D35" s="16"/>
      <c r="E35" s="44"/>
      <c r="F35" s="37"/>
      <c r="G35" s="37"/>
      <c r="H35" s="37"/>
      <c r="I35" s="128"/>
      <c r="J35" s="37"/>
    </row>
    <row r="36" spans="1:10" ht="15.75">
      <c r="A36" s="880" t="s">
        <v>119</v>
      </c>
      <c r="B36" s="16" t="s">
        <v>1011</v>
      </c>
      <c r="C36" s="16"/>
      <c r="D36" s="16"/>
      <c r="E36" s="16"/>
      <c r="F36" s="16"/>
      <c r="G36" s="881" t="e">
        <f>G32/(E34-G32)</f>
        <v>#DIV/0!</v>
      </c>
      <c r="H36" s="46"/>
      <c r="I36" s="16"/>
      <c r="J36" s="16"/>
    </row>
    <row r="37" spans="1:10" ht="15.75">
      <c r="A37" s="880"/>
      <c r="B37" s="130"/>
      <c r="C37" s="16"/>
      <c r="D37" s="16"/>
      <c r="E37" s="16"/>
      <c r="F37" s="16"/>
      <c r="G37" s="46"/>
      <c r="H37" s="46"/>
      <c r="I37" s="16"/>
      <c r="J37" s="16"/>
    </row>
    <row r="38" spans="1:10" ht="15.75">
      <c r="A38" s="880" t="s">
        <v>120</v>
      </c>
      <c r="B38" s="16" t="s">
        <v>1012</v>
      </c>
      <c r="C38" s="16"/>
      <c r="D38" s="16"/>
      <c r="E38" s="16"/>
      <c r="F38" s="16"/>
      <c r="G38" s="46"/>
      <c r="H38" s="131" t="s">
        <v>100</v>
      </c>
      <c r="I38" s="16" t="s">
        <v>101</v>
      </c>
      <c r="J38" s="129" t="e">
        <f>ROUND(G36*J8,0)</f>
        <v>#DIV/0!</v>
      </c>
    </row>
    <row r="39" spans="1:10" ht="15.75">
      <c r="A39" s="882"/>
      <c r="B39" s="746"/>
      <c r="C39" s="746"/>
      <c r="D39" s="746"/>
      <c r="E39" s="746"/>
      <c r="F39" s="746"/>
      <c r="G39" s="746"/>
      <c r="H39" s="746"/>
      <c r="I39" s="746"/>
      <c r="J39" s="702"/>
    </row>
    <row r="40" spans="1:10" ht="15.75">
      <c r="A40" s="882" t="s">
        <v>131</v>
      </c>
      <c r="B40" s="746" t="str">
        <f>CONCATENATE("Consumer Price Index for all urban consumers for calendar year ",J1-2," (5 year average)")</f>
        <v>Consumer Price Index for all urban consumers for calendar year -2 (5 year average)</v>
      </c>
      <c r="C40" s="746"/>
      <c r="D40" s="746"/>
      <c r="E40" s="746"/>
      <c r="F40" s="746"/>
      <c r="G40" s="746"/>
      <c r="H40" s="746"/>
      <c r="I40" s="746"/>
      <c r="J40" s="883">
        <f>inputPrYr!C8</f>
        <v>0</v>
      </c>
    </row>
    <row r="41" spans="1:10" ht="15.75">
      <c r="A41" s="882"/>
      <c r="B41" s="746"/>
      <c r="C41" s="746"/>
      <c r="D41" s="746"/>
      <c r="E41" s="746"/>
      <c r="F41" s="746"/>
      <c r="G41" s="746"/>
      <c r="H41" s="746"/>
      <c r="I41" s="746"/>
      <c r="J41" s="705"/>
    </row>
    <row r="42" spans="1:10" ht="15.75">
      <c r="A42" s="882" t="s">
        <v>132</v>
      </c>
      <c r="B42" s="746" t="s">
        <v>1013</v>
      </c>
      <c r="C42" s="746"/>
      <c r="D42" s="746"/>
      <c r="E42" s="746"/>
      <c r="F42" s="746"/>
      <c r="G42" s="746"/>
      <c r="H42" s="746"/>
      <c r="I42" s="703" t="s">
        <v>101</v>
      </c>
      <c r="J42" s="701">
        <f>ROUND(J8*J40,0)</f>
        <v>0</v>
      </c>
    </row>
    <row r="43" spans="1:10" ht="15.75">
      <c r="A43" s="704"/>
      <c r="B43" s="746"/>
      <c r="C43" s="746"/>
      <c r="D43" s="746"/>
      <c r="E43" s="746"/>
      <c r="F43" s="746"/>
      <c r="G43" s="746"/>
      <c r="H43" s="746"/>
      <c r="I43" s="746"/>
      <c r="J43" s="702"/>
    </row>
    <row r="44" spans="1:10" ht="15.75">
      <c r="A44" s="704"/>
      <c r="B44" s="746"/>
      <c r="C44" s="746"/>
      <c r="D44" s="746"/>
      <c r="E44" s="746"/>
      <c r="F44" s="746"/>
      <c r="G44" s="746"/>
      <c r="H44" s="746"/>
      <c r="I44" s="746"/>
      <c r="J44" s="700"/>
    </row>
    <row r="45" spans="1:10" ht="18.75">
      <c r="A45" s="884" t="s">
        <v>927</v>
      </c>
      <c r="B45" s="885" t="s">
        <v>1014</v>
      </c>
      <c r="C45" s="885"/>
      <c r="D45" s="699"/>
      <c r="E45" s="699"/>
      <c r="F45" s="699"/>
      <c r="G45" s="699"/>
      <c r="H45" s="699"/>
      <c r="I45" s="703" t="s">
        <v>101</v>
      </c>
      <c r="J45" s="886" t="e">
        <f>J38+J42</f>
        <v>#DIV/0!</v>
      </c>
    </row>
    <row r="46" spans="1:10" ht="18.75">
      <c r="A46" s="699"/>
      <c r="B46" s="706"/>
      <c r="C46" s="699"/>
      <c r="D46" s="699"/>
      <c r="E46" s="699"/>
      <c r="F46" s="699"/>
      <c r="G46" s="699"/>
      <c r="H46" s="699"/>
      <c r="I46" s="703"/>
      <c r="J46" s="702"/>
    </row>
    <row r="47" spans="1:10" ht="18.75">
      <c r="A47" s="699"/>
      <c r="B47" s="706"/>
      <c r="C47" s="699"/>
      <c r="D47" s="699"/>
      <c r="E47" s="699"/>
      <c r="F47" s="699"/>
      <c r="G47" s="699"/>
      <c r="H47" s="699"/>
      <c r="I47" s="703"/>
      <c r="J47" s="702"/>
    </row>
    <row r="48" spans="1:10" ht="15" customHeight="1">
      <c r="A48" s="996"/>
      <c r="B48" s="996"/>
      <c r="C48" s="996"/>
      <c r="D48" s="996"/>
      <c r="E48" s="996"/>
      <c r="F48" s="996"/>
      <c r="G48" s="996"/>
      <c r="H48" s="996"/>
      <c r="I48" s="996"/>
      <c r="J48" s="996"/>
    </row>
    <row r="49" spans="1:10" ht="31.5" customHeight="1">
      <c r="A49" s="887"/>
      <c r="B49" s="887"/>
      <c r="C49" s="887"/>
      <c r="D49" s="887"/>
      <c r="E49" s="887"/>
      <c r="F49" s="887"/>
      <c r="G49" s="887"/>
      <c r="H49" s="887"/>
      <c r="I49" s="887"/>
      <c r="J49" s="887"/>
    </row>
    <row r="50" spans="1:10" ht="15" customHeight="1">
      <c r="A50" s="995"/>
      <c r="B50" s="995"/>
      <c r="C50" s="995"/>
      <c r="D50" s="995"/>
      <c r="E50" s="995"/>
      <c r="F50" s="995"/>
      <c r="G50" s="995"/>
      <c r="H50" s="995"/>
      <c r="I50" s="995"/>
      <c r="J50" s="995"/>
    </row>
    <row r="51" spans="1:10" ht="15" customHeight="1">
      <c r="A51" s="995"/>
      <c r="B51" s="995"/>
      <c r="C51" s="995"/>
      <c r="D51" s="995"/>
      <c r="E51" s="995"/>
      <c r="F51" s="995"/>
      <c r="G51" s="995"/>
      <c r="H51" s="995"/>
      <c r="I51" s="995"/>
      <c r="J51" s="995"/>
    </row>
    <row r="52" ht="15.75" customHeight="1">
      <c r="J52" s="888"/>
    </row>
  </sheetData>
  <sheetProtection/>
  <mergeCells count="5">
    <mergeCell ref="E4:G4"/>
    <mergeCell ref="A51:J51"/>
    <mergeCell ref="A50:J50"/>
    <mergeCell ref="A10:J10"/>
    <mergeCell ref="A48:J48"/>
  </mergeCells>
  <printOptions/>
  <pageMargins left="0.5" right="0.5" top="1" bottom="0.5" header="0.5" footer="0.5"/>
  <pageSetup blackAndWhite="1" fitToHeight="1" fitToWidth="1" horizontalDpi="600" verticalDpi="600" orientation="portrait" scale="73"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dimension ref="A1:K53"/>
  <sheetViews>
    <sheetView zoomScalePageLayoutView="0" workbookViewId="0" topLeftCell="A1">
      <selection activeCell="N44" sqref="N44"/>
    </sheetView>
  </sheetViews>
  <sheetFormatPr defaultColWidth="8.796875" defaultRowHeight="15"/>
  <cols>
    <col min="1" max="1" width="3.59765625" style="927" customWidth="1"/>
    <col min="2" max="2" width="9.796875" style="0" customWidth="1"/>
    <col min="3" max="3" width="27.8984375" style="0" customWidth="1"/>
    <col min="4" max="4" width="13.69921875" style="0" customWidth="1"/>
    <col min="5" max="5" width="7.59765625" style="0" customWidth="1"/>
    <col min="6" max="6" width="5.296875" style="0" customWidth="1"/>
    <col min="7" max="7" width="8" style="0" customWidth="1"/>
    <col min="8" max="8" width="3" style="0" customWidth="1"/>
    <col min="9" max="9" width="2.09765625" style="0" customWidth="1"/>
    <col min="11" max="11" width="4.796875" style="0" customWidth="1"/>
  </cols>
  <sheetData>
    <row r="1" spans="1:11" ht="15.75">
      <c r="A1" s="889"/>
      <c r="B1" s="890"/>
      <c r="C1" s="891">
        <f>inputPrYr!D3</f>
        <v>0</v>
      </c>
      <c r="D1" s="890"/>
      <c r="E1" s="890"/>
      <c r="F1" s="890"/>
      <c r="G1" s="890"/>
      <c r="H1" s="890"/>
      <c r="I1" s="890"/>
      <c r="J1" s="890"/>
      <c r="K1" s="892">
        <f>inputPrYr!C6</f>
        <v>0</v>
      </c>
    </row>
    <row r="2" spans="1:11" ht="15.75">
      <c r="A2" s="889"/>
      <c r="B2" s="890"/>
      <c r="C2" s="890"/>
      <c r="D2" s="890"/>
      <c r="E2" s="890"/>
      <c r="F2" s="890"/>
      <c r="G2" s="890"/>
      <c r="H2" s="890"/>
      <c r="I2" s="890"/>
      <c r="J2" s="890"/>
      <c r="K2" s="890"/>
    </row>
    <row r="3" spans="1:11" ht="15.75">
      <c r="A3" s="889"/>
      <c r="B3" s="890"/>
      <c r="C3" s="890"/>
      <c r="D3" s="890"/>
      <c r="E3" s="893"/>
      <c r="F3" s="893"/>
      <c r="G3" s="893"/>
      <c r="H3" s="893"/>
      <c r="I3" s="893"/>
      <c r="J3" s="893"/>
      <c r="K3" s="893"/>
    </row>
    <row r="4" spans="1:11" ht="15.75">
      <c r="A4" s="994" t="str">
        <f>CONCATENATE(K1," Revenue Adjustments")</f>
        <v>0 Revenue Adjustments</v>
      </c>
      <c r="B4" s="994"/>
      <c r="C4" s="994"/>
      <c r="D4" s="994"/>
      <c r="E4" s="994"/>
      <c r="F4" s="994"/>
      <c r="G4" s="994"/>
      <c r="H4" s="994"/>
      <c r="I4" s="994"/>
      <c r="J4" s="994"/>
      <c r="K4" s="994"/>
    </row>
    <row r="5" spans="1:11" ht="15.75">
      <c r="A5" s="889"/>
      <c r="B5" s="890"/>
      <c r="C5" s="890"/>
      <c r="D5" s="890"/>
      <c r="E5" s="893"/>
      <c r="F5" s="893"/>
      <c r="G5" s="893"/>
      <c r="H5" s="893"/>
      <c r="I5" s="893"/>
      <c r="J5" s="893"/>
      <c r="K5" s="893"/>
    </row>
    <row r="6" spans="1:11" ht="15.75">
      <c r="A6" s="894" t="s">
        <v>928</v>
      </c>
      <c r="B6" s="890" t="str">
        <f>CONCATENATE("Property tax revenues for debt service in  ",K1," budget:")</f>
        <v>Property tax revenues for debt service in  0 budget:</v>
      </c>
      <c r="C6" s="890"/>
      <c r="D6" s="890"/>
      <c r="E6" s="895"/>
      <c r="F6" s="895"/>
      <c r="G6" s="896"/>
      <c r="H6" s="896"/>
      <c r="I6" s="895" t="s">
        <v>100</v>
      </c>
      <c r="J6" s="897">
        <f>'DebtSvs-Library'!E42</f>
        <v>0</v>
      </c>
      <c r="K6" s="893"/>
    </row>
    <row r="7" spans="1:11" ht="15.75">
      <c r="A7" s="894"/>
      <c r="B7" s="890" t="str">
        <f>CONCATENATE("Property tax revenues for debt service in  ",K1-1," budget:")</f>
        <v>Property tax revenues for debt service in  -1 budget:</v>
      </c>
      <c r="C7" s="890"/>
      <c r="D7" s="890"/>
      <c r="E7" s="895"/>
      <c r="F7" s="895"/>
      <c r="G7" s="896"/>
      <c r="H7" s="896"/>
      <c r="I7" s="895" t="s">
        <v>103</v>
      </c>
      <c r="J7" s="898">
        <f>inputPrYr!E23</f>
        <v>0</v>
      </c>
      <c r="K7" s="893"/>
    </row>
    <row r="8" spans="1:11" ht="15.75">
      <c r="A8" s="894"/>
      <c r="B8" s="890" t="s">
        <v>1015</v>
      </c>
      <c r="C8" s="890"/>
      <c r="D8" s="890"/>
      <c r="E8" s="895"/>
      <c r="F8" s="895"/>
      <c r="G8" s="896"/>
      <c r="H8" s="896"/>
      <c r="I8" s="895"/>
      <c r="J8" s="898">
        <f>IF(J6-J7&gt;0,J6-J7,0)</f>
        <v>0</v>
      </c>
      <c r="K8" s="893"/>
    </row>
    <row r="9" spans="1:11" ht="15.75">
      <c r="A9" s="894"/>
      <c r="B9" s="890"/>
      <c r="C9" s="890"/>
      <c r="D9" s="890"/>
      <c r="E9" s="895"/>
      <c r="F9" s="895"/>
      <c r="G9" s="896"/>
      <c r="H9" s="896"/>
      <c r="I9" s="895"/>
      <c r="J9" s="896"/>
      <c r="K9" s="893"/>
    </row>
    <row r="10" spans="1:11" ht="15.75">
      <c r="A10" s="894"/>
      <c r="B10" s="899"/>
      <c r="C10" s="890"/>
      <c r="D10" s="890"/>
      <c r="E10" s="895"/>
      <c r="F10" s="895"/>
      <c r="G10" s="896"/>
      <c r="H10" s="896"/>
      <c r="I10" s="895"/>
      <c r="J10" s="896"/>
      <c r="K10" s="893"/>
    </row>
    <row r="11" spans="1:11" ht="15.75">
      <c r="A11" s="894" t="s">
        <v>929</v>
      </c>
      <c r="B11" s="890" t="str">
        <f>CONCATENATE("Property tax revenues spent for public building commission and lease payments in the ",K1," budget:")</f>
        <v>Property tax revenues spent for public building commission and lease payments in the 0 budget:</v>
      </c>
      <c r="C11" s="890"/>
      <c r="D11" s="890"/>
      <c r="E11" s="895"/>
      <c r="F11" s="895"/>
      <c r="G11" s="896"/>
      <c r="H11" s="896"/>
      <c r="I11" s="895" t="s">
        <v>100</v>
      </c>
      <c r="J11" s="879"/>
      <c r="K11" s="893"/>
    </row>
    <row r="12" spans="1:11" ht="15.75">
      <c r="A12" s="889"/>
      <c r="B12" s="890" t="s">
        <v>1016</v>
      </c>
      <c r="C12" s="890"/>
      <c r="D12" s="899"/>
      <c r="E12" s="896"/>
      <c r="F12" s="900"/>
      <c r="G12" s="896"/>
      <c r="H12" s="896"/>
      <c r="I12" s="900"/>
      <c r="J12" s="896"/>
      <c r="K12" s="893"/>
    </row>
    <row r="13" spans="1:11" ht="15.75">
      <c r="A13" s="894"/>
      <c r="B13" s="890" t="s">
        <v>1017</v>
      </c>
      <c r="C13" s="890"/>
      <c r="D13" s="899"/>
      <c r="E13" s="896"/>
      <c r="F13" s="900"/>
      <c r="G13" s="896"/>
      <c r="H13" s="896"/>
      <c r="I13" s="900"/>
      <c r="J13" s="896"/>
      <c r="K13" s="893"/>
    </row>
    <row r="14" spans="1:11" ht="15.75">
      <c r="A14" s="894"/>
      <c r="B14" s="890"/>
      <c r="C14" s="890"/>
      <c r="D14" s="899"/>
      <c r="E14" s="896"/>
      <c r="F14" s="900"/>
      <c r="G14" s="896"/>
      <c r="H14" s="896"/>
      <c r="I14" s="900"/>
      <c r="J14" s="896"/>
      <c r="K14" s="893"/>
    </row>
    <row r="15" spans="1:11" ht="15.75">
      <c r="A15" s="894"/>
      <c r="B15" s="890" t="s">
        <v>1018</v>
      </c>
      <c r="C15" s="890"/>
      <c r="D15" s="890"/>
      <c r="E15" s="895"/>
      <c r="F15" s="895"/>
      <c r="G15" s="896"/>
      <c r="H15" s="896"/>
      <c r="I15" s="895" t="s">
        <v>103</v>
      </c>
      <c r="J15" s="879"/>
      <c r="K15" s="893"/>
    </row>
    <row r="16" spans="1:11" ht="15.75">
      <c r="A16" s="894"/>
      <c r="B16" s="890" t="s">
        <v>1019</v>
      </c>
      <c r="C16" s="890"/>
      <c r="D16" s="890"/>
      <c r="E16" s="895"/>
      <c r="F16" s="895"/>
      <c r="G16" s="896"/>
      <c r="H16" s="896"/>
      <c r="I16" s="895"/>
      <c r="J16" s="898">
        <f>IF(J14-J15&gt;0,J14-J15,0)</f>
        <v>0</v>
      </c>
      <c r="K16" s="893"/>
    </row>
    <row r="17" spans="1:11" ht="15.75">
      <c r="A17" s="894"/>
      <c r="B17" s="890"/>
      <c r="C17" s="890"/>
      <c r="D17" s="890"/>
      <c r="E17" s="896"/>
      <c r="F17" s="896"/>
      <c r="G17" s="896"/>
      <c r="H17" s="896"/>
      <c r="I17" s="896"/>
      <c r="J17" s="896"/>
      <c r="K17" s="893"/>
    </row>
    <row r="18" spans="1:11" ht="15.75">
      <c r="A18" s="894" t="s">
        <v>1020</v>
      </c>
      <c r="B18" s="890" t="str">
        <f>CONCATENATE("Property tax revenues spent on special assessments in the  ",K1," budget:")</f>
        <v>Property tax revenues spent on special assessments in the  0 budget:</v>
      </c>
      <c r="C18" s="890"/>
      <c r="D18" s="890"/>
      <c r="E18" s="895"/>
      <c r="F18" s="895"/>
      <c r="G18" s="896"/>
      <c r="H18" s="896"/>
      <c r="I18" s="895" t="s">
        <v>100</v>
      </c>
      <c r="J18" s="879"/>
      <c r="K18" s="893"/>
    </row>
    <row r="19" spans="1:11" ht="15.75">
      <c r="A19" s="901"/>
      <c r="B19" s="890" t="s">
        <v>1017</v>
      </c>
      <c r="C19" s="902"/>
      <c r="D19" s="902"/>
      <c r="E19" s="896"/>
      <c r="F19" s="896"/>
      <c r="G19" s="896"/>
      <c r="H19" s="896"/>
      <c r="I19" s="896"/>
      <c r="J19" s="896"/>
      <c r="K19" s="896"/>
    </row>
    <row r="20" spans="1:11" ht="15.75">
      <c r="A20" s="901"/>
      <c r="B20" s="902"/>
      <c r="C20" s="902"/>
      <c r="D20" s="903"/>
      <c r="E20" s="896"/>
      <c r="F20" s="896"/>
      <c r="G20" s="896"/>
      <c r="H20" s="896"/>
      <c r="I20" s="896"/>
      <c r="J20" s="896"/>
      <c r="K20" s="896"/>
    </row>
    <row r="21" spans="1:11" ht="15.75">
      <c r="A21" s="901" t="s">
        <v>1021</v>
      </c>
      <c r="B21" s="890" t="str">
        <f>CONCATENATE("Property tax revenues spent on court judgments or settlements and associated legal costs in the ",K1," budget:")</f>
        <v>Property tax revenues spent on court judgments or settlements and associated legal costs in the 0 budget:</v>
      </c>
      <c r="C21" s="902"/>
      <c r="D21" s="903"/>
      <c r="E21" s="896"/>
      <c r="F21" s="895"/>
      <c r="G21" s="896"/>
      <c r="H21" s="896"/>
      <c r="I21" s="895" t="s">
        <v>100</v>
      </c>
      <c r="J21" s="879"/>
      <c r="K21" s="896"/>
    </row>
    <row r="22" spans="1:11" ht="15.75">
      <c r="A22" s="901"/>
      <c r="B22" s="902"/>
      <c r="C22" s="902"/>
      <c r="D22" s="903"/>
      <c r="E22" s="896"/>
      <c r="F22" s="896"/>
      <c r="G22" s="896"/>
      <c r="H22" s="896"/>
      <c r="I22" s="896"/>
      <c r="J22" s="896"/>
      <c r="K22" s="896"/>
    </row>
    <row r="23" spans="1:11" ht="15.75">
      <c r="A23" s="901" t="s">
        <v>1022</v>
      </c>
      <c r="B23" s="890" t="s">
        <v>1023</v>
      </c>
      <c r="C23" s="902"/>
      <c r="D23" s="903"/>
      <c r="E23" s="896"/>
      <c r="F23" s="896"/>
      <c r="G23" s="896"/>
      <c r="H23" s="896"/>
      <c r="I23" s="896"/>
      <c r="J23" s="896"/>
      <c r="K23" s="896"/>
    </row>
    <row r="24" spans="1:11" ht="15.75">
      <c r="A24" s="901"/>
      <c r="B24" s="890" t="str">
        <f>CONCATENATE("and loss of funding from Federal sources after January 1, 2017 in the ",K1," budget:")</f>
        <v>and loss of funding from Federal sources after January 1, 2017 in the 0 budget:</v>
      </c>
      <c r="C24" s="902"/>
      <c r="D24" s="903"/>
      <c r="E24" s="896"/>
      <c r="F24" s="895"/>
      <c r="G24" s="896"/>
      <c r="H24" s="896"/>
      <c r="I24" s="895" t="s">
        <v>100</v>
      </c>
      <c r="J24" s="879"/>
      <c r="K24" s="896"/>
    </row>
    <row r="25" spans="1:11" ht="15.75">
      <c r="A25" s="901"/>
      <c r="B25" s="902"/>
      <c r="C25" s="902"/>
      <c r="D25" s="902"/>
      <c r="E25" s="896"/>
      <c r="F25" s="900"/>
      <c r="G25" s="896"/>
      <c r="H25" s="896"/>
      <c r="I25" s="900"/>
      <c r="J25" s="896"/>
      <c r="K25" s="896"/>
    </row>
    <row r="26" spans="1:11" ht="15.75">
      <c r="A26" s="901" t="s">
        <v>1024</v>
      </c>
      <c r="B26" s="890" t="str">
        <f>CONCATENATE("Property tax revenues spent on expenses realted to disaster or Federal Emergency in the ",K1," budget:")</f>
        <v>Property tax revenues spent on expenses realted to disaster or Federal Emergency in the 0 budget:</v>
      </c>
      <c r="C26" s="902"/>
      <c r="D26" s="903"/>
      <c r="E26" s="896"/>
      <c r="F26" s="895"/>
      <c r="G26" s="896"/>
      <c r="H26" s="896"/>
      <c r="I26" s="895" t="s">
        <v>100</v>
      </c>
      <c r="J26" s="879"/>
      <c r="K26" s="896"/>
    </row>
    <row r="27" spans="1:11" ht="15.75">
      <c r="A27" s="901"/>
      <c r="B27" s="890"/>
      <c r="C27" s="902"/>
      <c r="D27" s="903"/>
      <c r="E27" s="896"/>
      <c r="F27" s="895"/>
      <c r="G27" s="896"/>
      <c r="H27" s="896"/>
      <c r="I27" s="895"/>
      <c r="J27" s="896"/>
      <c r="K27" s="896"/>
    </row>
    <row r="28" spans="1:11" ht="15.75">
      <c r="A28" s="901"/>
      <c r="B28" s="902"/>
      <c r="C28" s="902"/>
      <c r="D28" s="902"/>
      <c r="E28" s="896"/>
      <c r="F28" s="896"/>
      <c r="G28" s="896"/>
      <c r="H28" s="896"/>
      <c r="I28" s="896"/>
      <c r="J28" s="896"/>
      <c r="K28" s="896"/>
    </row>
    <row r="29" spans="1:11" ht="15.75">
      <c r="A29" s="901" t="s">
        <v>1025</v>
      </c>
      <c r="B29" s="890" t="str">
        <f>CONCATENATE("Law enforcement expenses - ",K1," budget:")</f>
        <v>Law enforcement expenses - 0 budget:</v>
      </c>
      <c r="C29" s="902"/>
      <c r="D29" s="902"/>
      <c r="E29" s="896"/>
      <c r="F29" s="904" t="s">
        <v>100</v>
      </c>
      <c r="G29" s="879"/>
      <c r="H29" s="896"/>
      <c r="I29" s="896"/>
      <c r="J29" s="896"/>
      <c r="K29" s="896"/>
    </row>
    <row r="30" spans="1:11" ht="15.75">
      <c r="A30" s="901"/>
      <c r="B30" s="890" t="str">
        <f>CONCATENATE("Law enforcement expenses - ",K1-1," budget:")</f>
        <v>Law enforcement expenses - -1 budget:</v>
      </c>
      <c r="C30" s="902"/>
      <c r="D30" s="902"/>
      <c r="E30" s="896"/>
      <c r="F30" s="905" t="s">
        <v>103</v>
      </c>
      <c r="G30" s="906"/>
      <c r="H30" s="896"/>
      <c r="I30" s="896"/>
      <c r="J30" s="900"/>
      <c r="K30" s="896"/>
    </row>
    <row r="31" spans="1:11" ht="15.75">
      <c r="A31" s="901"/>
      <c r="B31" s="890" t="s">
        <v>1026</v>
      </c>
      <c r="C31" s="902"/>
      <c r="D31" s="902"/>
      <c r="E31" s="907">
        <f>inputPrYr!C8</f>
        <v>0</v>
      </c>
      <c r="F31" s="896"/>
      <c r="G31" s="898">
        <f>G30*E31</f>
        <v>0</v>
      </c>
      <c r="H31" s="896"/>
      <c r="I31" s="896"/>
      <c r="J31" s="900"/>
      <c r="K31" s="896"/>
    </row>
    <row r="32" spans="1:11" ht="15.75">
      <c r="A32" s="901"/>
      <c r="B32" s="890" t="str">
        <f>CONCATENATE("Increased law enforcement expenses in ",K1," budget:")</f>
        <v>Increased law enforcement expenses in 0 budget:</v>
      </c>
      <c r="C32" s="902"/>
      <c r="D32" s="902"/>
      <c r="E32" s="896"/>
      <c r="F32" s="896"/>
      <c r="G32" s="896"/>
      <c r="H32" s="896"/>
      <c r="I32" s="895" t="s">
        <v>100</v>
      </c>
      <c r="J32" s="897">
        <f>IF(G29-G30-G31&gt;0,G29-G30-G31,0)</f>
        <v>0</v>
      </c>
      <c r="K32" s="896"/>
    </row>
    <row r="33" spans="1:11" ht="15.75">
      <c r="A33" s="901"/>
      <c r="B33" s="903" t="s">
        <v>1027</v>
      </c>
      <c r="C33" s="902"/>
      <c r="D33" s="902"/>
      <c r="E33" s="896"/>
      <c r="F33" s="896"/>
      <c r="G33" s="896"/>
      <c r="H33" s="896"/>
      <c r="I33" s="896"/>
      <c r="J33" s="900"/>
      <c r="K33" s="896"/>
    </row>
    <row r="34" spans="1:11" ht="15.75">
      <c r="A34" s="901"/>
      <c r="B34" s="902"/>
      <c r="C34" s="902"/>
      <c r="D34" s="902"/>
      <c r="E34" s="902"/>
      <c r="F34" s="902"/>
      <c r="G34" s="908"/>
      <c r="H34" s="908"/>
      <c r="I34" s="902"/>
      <c r="J34" s="902"/>
      <c r="K34" s="902"/>
    </row>
    <row r="35" spans="1:11" ht="15.75">
      <c r="A35" s="901" t="s">
        <v>1028</v>
      </c>
      <c r="B35" s="890" t="str">
        <f>CONCATENATE("Fire protection expenses - ",K1," budget:")</f>
        <v>Fire protection expenses - 0 budget:</v>
      </c>
      <c r="C35" s="902"/>
      <c r="D35" s="902"/>
      <c r="E35" s="896"/>
      <c r="F35" s="904" t="s">
        <v>100</v>
      </c>
      <c r="G35" s="879"/>
      <c r="H35" s="896"/>
      <c r="I35" s="896"/>
      <c r="J35" s="896"/>
      <c r="K35" s="896"/>
    </row>
    <row r="36" spans="1:11" ht="15.75">
      <c r="A36" s="901"/>
      <c r="B36" s="890" t="str">
        <f>CONCATENATE("Fire protection expenses - ",K1-1," budget:")</f>
        <v>Fire protection expenses - -1 budget:</v>
      </c>
      <c r="C36" s="902"/>
      <c r="D36" s="902"/>
      <c r="E36" s="896"/>
      <c r="F36" s="905" t="s">
        <v>103</v>
      </c>
      <c r="G36" s="906"/>
      <c r="H36" s="896"/>
      <c r="I36" s="896"/>
      <c r="J36" s="900"/>
      <c r="K36" s="896"/>
    </row>
    <row r="37" spans="1:11" ht="15.75">
      <c r="A37" s="901"/>
      <c r="B37" s="890" t="s">
        <v>1026</v>
      </c>
      <c r="C37" s="902"/>
      <c r="D37" s="902"/>
      <c r="E37" s="907">
        <f>inputPrYr!C8</f>
        <v>0</v>
      </c>
      <c r="F37" s="896"/>
      <c r="G37" s="898">
        <f>G36*E37</f>
        <v>0</v>
      </c>
      <c r="H37" s="896"/>
      <c r="I37" s="896"/>
      <c r="J37" s="900"/>
      <c r="K37" s="896"/>
    </row>
    <row r="38" spans="1:11" ht="15.75">
      <c r="A38" s="901"/>
      <c r="B38" s="890" t="str">
        <f>CONCATENATE("Increased fire protection expense in ",K1," budget:")</f>
        <v>Increased fire protection expense in 0 budget:</v>
      </c>
      <c r="C38" s="902"/>
      <c r="D38" s="902"/>
      <c r="E38" s="896"/>
      <c r="F38" s="896"/>
      <c r="G38" s="896"/>
      <c r="H38" s="896"/>
      <c r="I38" s="895" t="s">
        <v>100</v>
      </c>
      <c r="J38" s="897">
        <f>IF(G35-G36-G37&gt;0,G35-G36-G37,0)</f>
        <v>0</v>
      </c>
      <c r="K38" s="896"/>
    </row>
    <row r="39" spans="1:11" ht="15.75">
      <c r="A39" s="909"/>
      <c r="B39" s="903" t="s">
        <v>1027</v>
      </c>
      <c r="C39" s="902"/>
      <c r="D39" s="902"/>
      <c r="E39" s="902"/>
      <c r="F39" s="902"/>
      <c r="G39" s="902"/>
      <c r="H39" s="902"/>
      <c r="I39" s="902"/>
      <c r="J39" s="902"/>
      <c r="K39" s="896"/>
    </row>
    <row r="40" spans="1:11" ht="15.75">
      <c r="A40" s="901"/>
      <c r="B40" s="902"/>
      <c r="C40" s="902"/>
      <c r="D40" s="902"/>
      <c r="E40" s="902"/>
      <c r="F40" s="902"/>
      <c r="G40" s="902"/>
      <c r="H40" s="902"/>
      <c r="I40" s="902"/>
      <c r="J40" s="902"/>
      <c r="K40" s="910"/>
    </row>
    <row r="41" spans="1:11" ht="15.75">
      <c r="A41" s="901" t="s">
        <v>1029</v>
      </c>
      <c r="B41" s="890" t="str">
        <f>CONCATENATE("Emergency medical expenses - ",K1," budget:")</f>
        <v>Emergency medical expenses - 0 budget:</v>
      </c>
      <c r="C41" s="902"/>
      <c r="D41" s="902"/>
      <c r="E41" s="896"/>
      <c r="F41" s="904" t="s">
        <v>100</v>
      </c>
      <c r="G41" s="879"/>
      <c r="H41" s="896"/>
      <c r="I41" s="896"/>
      <c r="J41" s="896"/>
      <c r="K41" s="896"/>
    </row>
    <row r="42" spans="1:11" ht="15.75">
      <c r="A42" s="901"/>
      <c r="B42" s="890" t="str">
        <f>CONCATENATE("Emergency medical expenses - ",K1-1," budget:")</f>
        <v>Emergency medical expenses - -1 budget:</v>
      </c>
      <c r="C42" s="902"/>
      <c r="D42" s="902"/>
      <c r="E42" s="896"/>
      <c r="F42" s="905" t="s">
        <v>103</v>
      </c>
      <c r="G42" s="906"/>
      <c r="H42" s="896"/>
      <c r="I42" s="896"/>
      <c r="J42" s="900"/>
      <c r="K42" s="896"/>
    </row>
    <row r="43" spans="1:11" ht="15.75">
      <c r="A43" s="911"/>
      <c r="B43" s="890" t="s">
        <v>1026</v>
      </c>
      <c r="C43" s="902"/>
      <c r="D43" s="902"/>
      <c r="E43" s="907">
        <f>inputPrYr!C8</f>
        <v>0</v>
      </c>
      <c r="F43" s="896"/>
      <c r="G43" s="898">
        <f>G42*E43</f>
        <v>0</v>
      </c>
      <c r="H43" s="896"/>
      <c r="I43" s="896"/>
      <c r="J43" s="900"/>
      <c r="K43" s="896"/>
    </row>
    <row r="44" spans="1:11" ht="15.75">
      <c r="A44" s="911"/>
      <c r="B44" s="890" t="str">
        <f>CONCATENATE("Increased emergency medical expenses in ",K1," budget:")</f>
        <v>Increased emergency medical expenses in 0 budget:</v>
      </c>
      <c r="C44" s="902"/>
      <c r="D44" s="902"/>
      <c r="E44" s="896"/>
      <c r="F44" s="896"/>
      <c r="G44" s="896"/>
      <c r="H44" s="896"/>
      <c r="I44" s="895" t="s">
        <v>100</v>
      </c>
      <c r="J44" s="897">
        <f>IF(G41-G42-G43&gt;0,G41-G42-G43,0)</f>
        <v>0</v>
      </c>
      <c r="K44" s="896"/>
    </row>
    <row r="45" spans="1:11" ht="15.75">
      <c r="A45" s="911"/>
      <c r="B45" s="903" t="s">
        <v>1027</v>
      </c>
      <c r="C45" s="902"/>
      <c r="D45" s="912"/>
      <c r="E45" s="912"/>
      <c r="F45" s="912"/>
      <c r="G45" s="912"/>
      <c r="H45" s="912"/>
      <c r="I45" s="912"/>
      <c r="J45" s="912"/>
      <c r="K45" s="913"/>
    </row>
    <row r="46" spans="1:11" ht="15.75">
      <c r="A46" s="911"/>
      <c r="B46" s="912"/>
      <c r="C46" s="912"/>
      <c r="D46" s="912"/>
      <c r="E46" s="912"/>
      <c r="F46" s="912"/>
      <c r="G46" s="912"/>
      <c r="H46" s="912"/>
      <c r="I46" s="912"/>
      <c r="J46" s="914"/>
      <c r="K46" s="915"/>
    </row>
    <row r="47" spans="1:11" ht="15.75">
      <c r="A47" s="911"/>
      <c r="B47" s="912"/>
      <c r="C47" s="912"/>
      <c r="D47" s="912"/>
      <c r="E47" s="912"/>
      <c r="F47" s="912"/>
      <c r="G47" s="912"/>
      <c r="H47" s="912"/>
      <c r="I47" s="912"/>
      <c r="J47" s="912"/>
      <c r="K47" s="915"/>
    </row>
    <row r="48" spans="1:11" ht="15.75">
      <c r="A48" s="916" t="s">
        <v>1030</v>
      </c>
      <c r="B48" s="917" t="s">
        <v>1031</v>
      </c>
      <c r="C48" s="917"/>
      <c r="D48" s="912"/>
      <c r="E48" s="912"/>
      <c r="F48" s="912"/>
      <c r="G48" s="912"/>
      <c r="H48" s="912"/>
      <c r="I48" s="912"/>
      <c r="J48" s="918">
        <f>J8+J16+J18+J21+J24+J26+J32+J38+J44</f>
        <v>0</v>
      </c>
      <c r="K48" s="915"/>
    </row>
    <row r="49" spans="1:11" ht="18.75">
      <c r="A49" s="911"/>
      <c r="B49" s="912"/>
      <c r="C49" s="912"/>
      <c r="D49" s="919"/>
      <c r="E49" s="919"/>
      <c r="F49" s="919"/>
      <c r="G49" s="919"/>
      <c r="H49" s="919"/>
      <c r="I49" s="919"/>
      <c r="J49" s="914"/>
      <c r="K49" s="915"/>
    </row>
    <row r="50" spans="1:11" ht="18.75">
      <c r="A50" s="920"/>
      <c r="B50" s="920"/>
      <c r="C50" s="921"/>
      <c r="D50" s="921"/>
      <c r="E50" s="921"/>
      <c r="F50" s="921"/>
      <c r="G50" s="921"/>
      <c r="H50" s="921"/>
      <c r="I50" s="921"/>
      <c r="J50" s="922"/>
      <c r="K50" s="915"/>
    </row>
    <row r="51" spans="1:11" ht="18.75">
      <c r="A51" s="920"/>
      <c r="B51" s="920"/>
      <c r="C51" s="923"/>
      <c r="D51" s="921"/>
      <c r="E51" s="921"/>
      <c r="F51" s="921"/>
      <c r="G51" s="921"/>
      <c r="H51" s="921"/>
      <c r="I51" s="921"/>
      <c r="J51" s="924"/>
      <c r="K51" s="915"/>
    </row>
    <row r="52" spans="1:11" ht="15.75">
      <c r="A52" s="997"/>
      <c r="B52" s="997"/>
      <c r="C52" s="997"/>
      <c r="D52" s="997"/>
      <c r="E52" s="997"/>
      <c r="F52" s="997"/>
      <c r="G52" s="997"/>
      <c r="H52" s="997"/>
      <c r="I52" s="997"/>
      <c r="J52" s="997"/>
      <c r="K52" s="997"/>
    </row>
    <row r="53" spans="1:11" ht="15.75">
      <c r="A53" s="925"/>
      <c r="B53" s="926"/>
      <c r="C53" s="926"/>
      <c r="D53" s="926"/>
      <c r="E53" s="926"/>
      <c r="F53" s="926"/>
      <c r="G53" s="926"/>
      <c r="H53" s="926"/>
      <c r="I53" s="926"/>
      <c r="J53" s="926"/>
      <c r="K53" s="926"/>
    </row>
  </sheetData>
  <sheetProtection/>
  <mergeCells count="2">
    <mergeCell ref="A4:K4"/>
    <mergeCell ref="A52:K5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68"/>
  <sheetViews>
    <sheetView zoomScalePageLayoutView="0" workbookViewId="0" topLeftCell="A1">
      <selection activeCell="A80" sqref="A80"/>
    </sheetView>
  </sheetViews>
  <sheetFormatPr defaultColWidth="8.796875" defaultRowHeight="15"/>
  <cols>
    <col min="1" max="1" width="3.69921875" style="0" customWidth="1"/>
    <col min="8" max="8" width="15.796875" style="0" customWidth="1"/>
    <col min="9" max="9" width="3.796875" style="0" customWidth="1"/>
  </cols>
  <sheetData>
    <row r="1" spans="1:10" ht="15.75">
      <c r="A1" s="890"/>
      <c r="B1" s="890"/>
      <c r="C1" s="891">
        <f>inputPrYr!D3</f>
        <v>0</v>
      </c>
      <c r="D1" s="890"/>
      <c r="E1" s="890"/>
      <c r="F1" s="890"/>
      <c r="G1" s="890"/>
      <c r="H1" s="890"/>
      <c r="I1" s="890"/>
      <c r="J1" s="928">
        <f>inputPrYr!C6</f>
        <v>0</v>
      </c>
    </row>
    <row r="2" spans="1:10" ht="15.75">
      <c r="A2" s="890"/>
      <c r="B2" s="890"/>
      <c r="C2" s="890"/>
      <c r="D2" s="890"/>
      <c r="E2" s="890"/>
      <c r="F2" s="890"/>
      <c r="G2" s="890"/>
      <c r="H2" s="890"/>
      <c r="I2" s="890"/>
      <c r="J2" s="890"/>
    </row>
    <row r="3" spans="1:10" ht="15.75">
      <c r="A3" s="929"/>
      <c r="B3" s="930"/>
      <c r="C3" s="930"/>
      <c r="D3" s="931"/>
      <c r="E3" s="930"/>
      <c r="F3" s="930"/>
      <c r="G3" s="930"/>
      <c r="H3" s="930"/>
      <c r="I3" s="930"/>
      <c r="J3" s="930"/>
    </row>
    <row r="4" spans="1:10" ht="15.75">
      <c r="A4" s="932"/>
      <c r="B4" s="902"/>
      <c r="C4" s="933"/>
      <c r="D4" s="934"/>
      <c r="E4" s="998"/>
      <c r="F4" s="998"/>
      <c r="G4" s="998"/>
      <c r="H4" s="935"/>
      <c r="I4" s="902"/>
      <c r="J4" s="936"/>
    </row>
    <row r="5" spans="1:10" ht="15.75">
      <c r="A5" s="901"/>
      <c r="B5" s="902"/>
      <c r="C5" s="937" t="s">
        <v>1032</v>
      </c>
      <c r="D5" s="902"/>
      <c r="E5" s="896"/>
      <c r="F5" s="896"/>
      <c r="G5" s="896"/>
      <c r="H5" s="900"/>
      <c r="I5" s="896"/>
      <c r="J5" s="896"/>
    </row>
    <row r="6" spans="1:10" ht="15.75">
      <c r="A6" s="901"/>
      <c r="B6" s="902"/>
      <c r="C6" s="937"/>
      <c r="D6" s="902"/>
      <c r="E6" s="896"/>
      <c r="F6" s="896"/>
      <c r="G6" s="896"/>
      <c r="H6" s="900"/>
      <c r="I6" s="896"/>
      <c r="J6" s="896"/>
    </row>
    <row r="7" spans="1:10" ht="15.75">
      <c r="A7" s="901"/>
      <c r="B7" s="902"/>
      <c r="C7" s="902"/>
      <c r="D7" s="902"/>
      <c r="E7" s="896"/>
      <c r="F7" s="896"/>
      <c r="G7" s="896"/>
      <c r="H7" s="900"/>
      <c r="I7" s="896"/>
      <c r="J7" s="910"/>
    </row>
    <row r="8" spans="1:10" ht="15.75">
      <c r="A8" s="901" t="s">
        <v>1033</v>
      </c>
      <c r="B8" s="890" t="str">
        <f>CONCATENATE("Library levy  - ",J1," budget:")</f>
        <v>Library levy  - 0 budget:</v>
      </c>
      <c r="C8" s="896"/>
      <c r="D8" s="902"/>
      <c r="E8" s="896"/>
      <c r="F8" s="896"/>
      <c r="G8" s="896"/>
      <c r="H8" s="900"/>
      <c r="I8" s="895" t="s">
        <v>100</v>
      </c>
      <c r="J8" s="879"/>
    </row>
    <row r="9" spans="1:10" ht="15.75">
      <c r="A9" s="901"/>
      <c r="B9" s="890" t="str">
        <f>CONCATENATE("Other tax entity levy - ",J1," budget:")</f>
        <v>Other tax entity levy - 0 budget:</v>
      </c>
      <c r="C9" s="902"/>
      <c r="D9" s="902"/>
      <c r="E9" s="896"/>
      <c r="F9" s="896"/>
      <c r="G9" s="896"/>
      <c r="H9" s="896"/>
      <c r="I9" s="895" t="s">
        <v>100</v>
      </c>
      <c r="J9" s="879"/>
    </row>
    <row r="10" spans="1:10" ht="15.75">
      <c r="A10" s="902"/>
      <c r="B10" s="890" t="str">
        <f>CONCATENATE("Other tax entity levy  - ",J1," budget:")</f>
        <v>Other tax entity levy  - 0 budget:</v>
      </c>
      <c r="C10" s="902"/>
      <c r="D10" s="902"/>
      <c r="E10" s="896"/>
      <c r="F10" s="938"/>
      <c r="G10" s="896"/>
      <c r="H10" s="896"/>
      <c r="I10" s="895" t="s">
        <v>100</v>
      </c>
      <c r="J10" s="879"/>
    </row>
    <row r="11" spans="1:10" ht="15.75">
      <c r="A11" s="998"/>
      <c r="B11" s="999"/>
      <c r="C11" s="999"/>
      <c r="D11" s="999"/>
      <c r="E11" s="999"/>
      <c r="F11" s="999"/>
      <c r="G11" s="999"/>
      <c r="H11" s="999"/>
      <c r="I11" s="999"/>
      <c r="J11" s="999"/>
    </row>
    <row r="12" spans="1:10" ht="15.75">
      <c r="A12" s="902"/>
      <c r="B12" s="902"/>
      <c r="C12" s="902"/>
      <c r="D12" s="902"/>
      <c r="E12" s="896"/>
      <c r="F12" s="896"/>
      <c r="G12" s="896"/>
      <c r="H12" s="896"/>
      <c r="I12" s="896"/>
      <c r="J12" s="896"/>
    </row>
    <row r="13" spans="1:10" ht="15.75">
      <c r="A13" s="939" t="s">
        <v>1034</v>
      </c>
      <c r="B13" s="940" t="s">
        <v>1035</v>
      </c>
      <c r="C13" s="940"/>
      <c r="D13" s="940"/>
      <c r="E13" s="941"/>
      <c r="F13" s="941"/>
      <c r="G13" s="942"/>
      <c r="H13" s="896"/>
      <c r="I13" s="895" t="s">
        <v>100</v>
      </c>
      <c r="J13" s="897">
        <f>SUM(J8:J10)</f>
        <v>0</v>
      </c>
    </row>
    <row r="14" spans="1:10" ht="15.75">
      <c r="A14" s="939"/>
      <c r="B14" s="940"/>
      <c r="C14" s="940"/>
      <c r="D14" s="940"/>
      <c r="E14" s="941"/>
      <c r="F14" s="941"/>
      <c r="G14" s="942"/>
      <c r="H14" s="896"/>
      <c r="I14" s="895"/>
      <c r="J14" s="896"/>
    </row>
    <row r="15" spans="1:10" ht="15.75">
      <c r="A15" s="943"/>
      <c r="B15" s="903"/>
      <c r="C15" s="902"/>
      <c r="D15" s="902"/>
      <c r="E15" s="900"/>
      <c r="F15" s="900"/>
      <c r="G15" s="896"/>
      <c r="H15" s="896"/>
      <c r="I15" s="896"/>
      <c r="J15" s="896"/>
    </row>
    <row r="16" spans="1:10" ht="15.75">
      <c r="A16" s="939" t="s">
        <v>1036</v>
      </c>
      <c r="B16" s="940" t="s">
        <v>1037</v>
      </c>
      <c r="C16" s="940"/>
      <c r="D16" s="940"/>
      <c r="E16" s="941"/>
      <c r="F16" s="941"/>
      <c r="G16" s="942"/>
      <c r="H16" s="942"/>
      <c r="I16" s="896"/>
      <c r="J16" s="944" t="e">
        <f>Comp1!J8+Comp1!J45+Comp2!J48+Comp3!J13</f>
        <v>#DIV/0!</v>
      </c>
    </row>
    <row r="17" spans="1:10" ht="15.75">
      <c r="A17" s="932"/>
      <c r="B17" s="902"/>
      <c r="C17" s="902"/>
      <c r="D17" s="903"/>
      <c r="E17" s="896"/>
      <c r="F17" s="900"/>
      <c r="G17" s="896"/>
      <c r="H17" s="896"/>
      <c r="I17" s="896"/>
      <c r="J17" s="896"/>
    </row>
    <row r="18" spans="1:10" ht="15.75">
      <c r="A18" s="932"/>
      <c r="B18" s="902"/>
      <c r="C18" s="902"/>
      <c r="D18" s="903"/>
      <c r="E18" s="896"/>
      <c r="F18" s="900"/>
      <c r="G18" s="896"/>
      <c r="H18" s="896"/>
      <c r="I18" s="896"/>
      <c r="J18" s="896"/>
    </row>
    <row r="19" spans="1:10" ht="15.75">
      <c r="A19" s="932"/>
      <c r="B19" s="902"/>
      <c r="C19" s="902"/>
      <c r="D19" s="903"/>
      <c r="E19" s="896"/>
      <c r="F19" s="900"/>
      <c r="G19" s="896"/>
      <c r="H19" s="896"/>
      <c r="I19" s="896"/>
      <c r="J19" s="896"/>
    </row>
    <row r="20" spans="1:10" ht="15.75">
      <c r="A20" s="903"/>
      <c r="B20" s="902"/>
      <c r="C20" s="902"/>
      <c r="D20" s="903"/>
      <c r="E20" s="896"/>
      <c r="F20" s="900"/>
      <c r="G20" s="896"/>
      <c r="H20" s="896"/>
      <c r="I20" s="896"/>
      <c r="J20" s="896"/>
    </row>
    <row r="21" spans="1:10" ht="15.75">
      <c r="A21" s="903"/>
      <c r="B21" s="902"/>
      <c r="C21" s="902"/>
      <c r="D21" s="902"/>
      <c r="E21" s="896"/>
      <c r="F21" s="896"/>
      <c r="G21" s="896"/>
      <c r="H21" s="896"/>
      <c r="I21" s="896"/>
      <c r="J21" s="896"/>
    </row>
    <row r="22" spans="1:10" ht="15.75">
      <c r="A22" s="903"/>
      <c r="B22" s="937"/>
      <c r="C22" s="937" t="s">
        <v>1038</v>
      </c>
      <c r="D22" s="902"/>
      <c r="E22" s="896"/>
      <c r="F22" s="896"/>
      <c r="G22" s="896"/>
      <c r="H22" s="896"/>
      <c r="I22" s="896"/>
      <c r="J22" s="896"/>
    </row>
    <row r="23" spans="1:10" ht="15.75">
      <c r="A23" s="903"/>
      <c r="B23" s="937"/>
      <c r="C23" s="937"/>
      <c r="D23" s="902"/>
      <c r="E23" s="896"/>
      <c r="F23" s="896"/>
      <c r="G23" s="896"/>
      <c r="H23" s="896"/>
      <c r="I23" s="896"/>
      <c r="J23" s="896"/>
    </row>
    <row r="24" spans="1:10" ht="15.75">
      <c r="A24" s="903"/>
      <c r="B24" s="902" t="s">
        <v>1039</v>
      </c>
      <c r="C24" s="937"/>
      <c r="D24" s="902"/>
      <c r="E24" s="896"/>
      <c r="F24" s="896"/>
      <c r="G24" s="896"/>
      <c r="H24" s="896"/>
      <c r="I24" s="896"/>
      <c r="J24" s="896"/>
    </row>
    <row r="25" spans="1:10" ht="15.75">
      <c r="A25" s="903"/>
      <c r="B25" s="902"/>
      <c r="C25" s="937"/>
      <c r="D25" s="902"/>
      <c r="E25" s="896"/>
      <c r="F25" s="896"/>
      <c r="G25" s="896"/>
      <c r="H25" s="896"/>
      <c r="I25" s="896"/>
      <c r="J25" s="896"/>
    </row>
    <row r="26" spans="1:10" ht="15.75">
      <c r="A26" s="903"/>
      <c r="B26" s="902"/>
      <c r="C26" s="902"/>
      <c r="D26" s="902"/>
      <c r="E26" s="896"/>
      <c r="F26" s="896"/>
      <c r="G26" s="896"/>
      <c r="H26" s="896"/>
      <c r="I26" s="896"/>
      <c r="J26" s="896"/>
    </row>
    <row r="27" spans="1:10" ht="15.75">
      <c r="A27" s="903"/>
      <c r="B27" s="902"/>
      <c r="C27" s="902" t="str">
        <f>CONCATENATE(J1-4," Tax Levy (Less Levy for other Governmental Units)")</f>
        <v>-4 Tax Levy (Less Levy for other Governmental Units)</v>
      </c>
      <c r="D27" s="903"/>
      <c r="E27" s="896"/>
      <c r="F27" s="896"/>
      <c r="G27" s="896"/>
      <c r="H27" s="945"/>
      <c r="I27" s="896"/>
      <c r="J27" s="896"/>
    </row>
    <row r="28" spans="1:10" ht="15.75">
      <c r="A28" s="903"/>
      <c r="B28" s="902"/>
      <c r="C28" s="902" t="str">
        <f>CONCATENATE(J1-3," Tax Levy (Less Levy for other Governmental Units)")</f>
        <v>-3 Tax Levy (Less Levy for other Governmental Units)</v>
      </c>
      <c r="D28" s="903"/>
      <c r="E28" s="896"/>
      <c r="F28" s="896"/>
      <c r="G28" s="896"/>
      <c r="H28" s="945"/>
      <c r="I28" s="896"/>
      <c r="J28" s="896" t="str">
        <f>IF(H28&lt;H27,"Decline","None")</f>
        <v>None</v>
      </c>
    </row>
    <row r="29" spans="1:10" ht="15.75">
      <c r="A29" s="903"/>
      <c r="B29" s="902"/>
      <c r="C29" s="902" t="str">
        <f>CONCATENATE(J1-2," Tax Levy (Less Levy for other Governmental Units)")</f>
        <v>-2 Tax Levy (Less Levy for other Governmental Units)</v>
      </c>
      <c r="D29" s="903"/>
      <c r="E29" s="896"/>
      <c r="F29" s="896"/>
      <c r="G29" s="896"/>
      <c r="H29" s="945"/>
      <c r="I29" s="896"/>
      <c r="J29" s="896" t="str">
        <f>IF(H29&lt;H28,"Decline","None")</f>
        <v>None</v>
      </c>
    </row>
    <row r="30" spans="1:10" ht="15.75">
      <c r="A30" s="903"/>
      <c r="B30" s="902"/>
      <c r="C30" s="902" t="str">
        <f>CONCATENATE(J1-1," Tax Levy (Less Levy for other Governmental Units)")</f>
        <v>-1 Tax Levy (Less Levy for other Governmental Units)</v>
      </c>
      <c r="D30" s="903"/>
      <c r="E30" s="896"/>
      <c r="F30" s="896"/>
      <c r="G30" s="896"/>
      <c r="H30" s="945"/>
      <c r="I30" s="896"/>
      <c r="J30" s="896" t="str">
        <f>IF(H30&lt;H29,"Decline","None")</f>
        <v>None</v>
      </c>
    </row>
    <row r="31" spans="1:10" ht="15.75">
      <c r="A31" s="903"/>
      <c r="B31" s="902"/>
      <c r="C31" s="902"/>
      <c r="D31" s="903"/>
      <c r="E31" s="896"/>
      <c r="F31" s="896"/>
      <c r="G31" s="896"/>
      <c r="H31" s="896"/>
      <c r="I31" s="896"/>
      <c r="J31" s="896"/>
    </row>
    <row r="32" spans="1:10" ht="15.75">
      <c r="A32" s="903"/>
      <c r="B32" s="902"/>
      <c r="C32" s="909" t="s">
        <v>1040</v>
      </c>
      <c r="D32" s="903"/>
      <c r="E32" s="896"/>
      <c r="F32" s="896"/>
      <c r="G32" s="896"/>
      <c r="H32" s="896" t="e">
        <f>AVERAGE(H28:H30)</f>
        <v>#DIV/0!</v>
      </c>
      <c r="I32" s="896"/>
      <c r="J32" s="896"/>
    </row>
    <row r="33" spans="1:10" ht="15.75">
      <c r="A33" s="903"/>
      <c r="B33" s="902"/>
      <c r="C33" s="909" t="str">
        <f>CONCATENATE("CPI Adjustment of   ",inputPrYr!C10)</f>
        <v>CPI Adjustment of   </v>
      </c>
      <c r="D33" s="903"/>
      <c r="E33" s="896"/>
      <c r="F33" s="896"/>
      <c r="G33" s="896"/>
      <c r="H33" s="896" t="e">
        <f>H32*inputPrYr!C10</f>
        <v>#DIV/0!</v>
      </c>
      <c r="I33" s="896"/>
      <c r="J33" s="896"/>
    </row>
    <row r="34" spans="1:10" ht="15.75">
      <c r="A34" s="903"/>
      <c r="B34" s="902"/>
      <c r="C34" s="902" t="s">
        <v>1041</v>
      </c>
      <c r="D34" s="903"/>
      <c r="E34" s="896"/>
      <c r="F34" s="896"/>
      <c r="G34" s="896"/>
      <c r="H34" s="896" t="e">
        <f>SUM(H32:H33)</f>
        <v>#DIV/0!</v>
      </c>
      <c r="I34" s="896"/>
      <c r="J34" s="896"/>
    </row>
    <row r="35" spans="1:10" ht="15.75">
      <c r="A35" s="903"/>
      <c r="B35" s="902"/>
      <c r="C35" s="902"/>
      <c r="D35" s="903"/>
      <c r="E35" s="896"/>
      <c r="F35" s="896"/>
      <c r="G35" s="896"/>
      <c r="H35" s="896"/>
      <c r="I35" s="896"/>
      <c r="J35" s="896"/>
    </row>
    <row r="36" spans="1:10" ht="15.75">
      <c r="A36" s="903"/>
      <c r="B36" s="902"/>
      <c r="C36" s="902" t="str">
        <f>CONCATENATE(J1," Total Tax Levy (Less Levy for Other Governmental Units)")</f>
        <v>0 Total Tax Levy (Less Levy for Other Governmental Units)</v>
      </c>
      <c r="D36" s="903"/>
      <c r="E36" s="896"/>
      <c r="F36" s="896"/>
      <c r="G36" s="896"/>
      <c r="H36" s="896"/>
      <c r="I36" s="896"/>
      <c r="J36" s="896"/>
    </row>
    <row r="37" spans="1:10" ht="15.75">
      <c r="A37" s="903"/>
      <c r="B37" s="903"/>
      <c r="C37" s="902"/>
      <c r="D37" s="903"/>
      <c r="E37" s="896"/>
      <c r="F37" s="896"/>
      <c r="G37" s="896"/>
      <c r="H37" s="896"/>
      <c r="I37" s="896"/>
      <c r="J37" s="896"/>
    </row>
    <row r="38" spans="1:10" ht="15.75">
      <c r="A38" s="903"/>
      <c r="B38" s="902"/>
      <c r="C38" s="940" t="s">
        <v>1042</v>
      </c>
      <c r="D38" s="940"/>
      <c r="E38" s="942"/>
      <c r="F38" s="941"/>
      <c r="G38" s="942"/>
      <c r="H38" s="946" t="e">
        <f>IF(H34&gt;H36,"Yes","No")</f>
        <v>#DIV/0!</v>
      </c>
      <c r="I38" s="896"/>
      <c r="J38" s="896"/>
    </row>
    <row r="39" spans="1:10" ht="15.75">
      <c r="A39" s="902"/>
      <c r="B39" s="902"/>
      <c r="C39" s="902"/>
      <c r="D39" s="903"/>
      <c r="E39" s="896"/>
      <c r="F39" s="896"/>
      <c r="G39" s="896"/>
      <c r="H39" s="896"/>
      <c r="I39" s="896"/>
      <c r="J39" s="896"/>
    </row>
    <row r="40" spans="1:10" ht="15.75">
      <c r="A40" s="903"/>
      <c r="B40" s="902"/>
      <c r="C40" s="902"/>
      <c r="D40" s="902" t="s">
        <v>1043</v>
      </c>
      <c r="E40" s="896"/>
      <c r="F40" s="896"/>
      <c r="G40" s="896"/>
      <c r="H40" s="896"/>
      <c r="I40" s="896"/>
      <c r="J40" s="896"/>
    </row>
    <row r="41" spans="1:10" ht="15.75">
      <c r="A41" s="903"/>
      <c r="B41" s="903"/>
      <c r="C41" s="902"/>
      <c r="D41" s="902"/>
      <c r="E41" s="896"/>
      <c r="F41" s="896"/>
      <c r="G41" s="896"/>
      <c r="H41" s="896"/>
      <c r="I41" s="896"/>
      <c r="J41" s="896"/>
    </row>
    <row r="42" spans="1:10" ht="15.75">
      <c r="A42" s="903"/>
      <c r="B42" s="902"/>
      <c r="C42" s="937" t="s">
        <v>1044</v>
      </c>
      <c r="D42" s="902"/>
      <c r="E42" s="896"/>
      <c r="F42" s="896"/>
      <c r="G42" s="896"/>
      <c r="H42" s="896"/>
      <c r="I42" s="900"/>
      <c r="J42" s="896"/>
    </row>
    <row r="43" spans="1:10" ht="15.75">
      <c r="A43" s="903"/>
      <c r="B43" s="903"/>
      <c r="C43" s="902"/>
      <c r="D43" s="902"/>
      <c r="E43" s="896"/>
      <c r="F43" s="896"/>
      <c r="G43" s="896"/>
      <c r="H43" s="896"/>
      <c r="I43" s="900"/>
      <c r="J43" s="896"/>
    </row>
    <row r="44" spans="1:10" ht="15.75">
      <c r="A44" s="903"/>
      <c r="B44" s="902"/>
      <c r="C44" s="902" t="s">
        <v>1045</v>
      </c>
      <c r="D44" s="902"/>
      <c r="E44" s="896"/>
      <c r="F44" s="896"/>
      <c r="G44" s="896"/>
      <c r="H44" s="945"/>
      <c r="I44" s="900"/>
      <c r="J44" s="896"/>
    </row>
    <row r="45" spans="1:10" ht="15.75">
      <c r="A45" s="903"/>
      <c r="B45" s="902"/>
      <c r="C45" s="902"/>
      <c r="D45" s="902"/>
      <c r="E45" s="896"/>
      <c r="F45" s="896"/>
      <c r="G45" s="896"/>
      <c r="H45" s="896"/>
      <c r="I45" s="900"/>
      <c r="J45" s="896"/>
    </row>
    <row r="46" spans="1:10" ht="15.75">
      <c r="A46" s="903"/>
      <c r="B46" s="903"/>
      <c r="C46" s="902"/>
      <c r="D46" s="902"/>
      <c r="E46" s="896"/>
      <c r="F46" s="896"/>
      <c r="G46" s="896"/>
      <c r="H46" s="896"/>
      <c r="I46" s="900"/>
      <c r="J46" s="896"/>
    </row>
    <row r="47" spans="1:10" ht="15.75">
      <c r="A47" s="903"/>
      <c r="B47" s="902"/>
      <c r="C47" s="902" t="str">
        <f>CONCATENATE(J1," Tax Levy (Less Levy for other Governmental Units)")</f>
        <v>0 Tax Levy (Less Levy for other Governmental Units)</v>
      </c>
      <c r="D47" s="903"/>
      <c r="E47" s="896"/>
      <c r="F47" s="896"/>
      <c r="G47" s="896"/>
      <c r="H47" s="945"/>
      <c r="I47" s="902"/>
      <c r="J47" s="902"/>
    </row>
    <row r="48" spans="1:10" ht="15.75">
      <c r="A48" s="903"/>
      <c r="B48" s="903"/>
      <c r="C48" s="902" t="str">
        <f>CONCATENATE(J1-1," Tax Levy (Less Levy for other Governmental Units)")</f>
        <v>-1 Tax Levy (Less Levy for other Governmental Units)</v>
      </c>
      <c r="D48" s="903"/>
      <c r="E48" s="896"/>
      <c r="F48" s="896"/>
      <c r="G48" s="896"/>
      <c r="H48" s="945"/>
      <c r="I48" s="902"/>
      <c r="J48" s="902"/>
    </row>
    <row r="49" spans="1:10" ht="15.75">
      <c r="A49" s="903"/>
      <c r="B49" s="902"/>
      <c r="C49" s="902" t="s">
        <v>1046</v>
      </c>
      <c r="D49" s="902"/>
      <c r="E49" s="902"/>
      <c r="F49" s="902"/>
      <c r="G49" s="902"/>
      <c r="H49" s="900">
        <f>H47-H48</f>
        <v>0</v>
      </c>
      <c r="I49" s="902"/>
      <c r="J49" s="896"/>
    </row>
    <row r="50" spans="1:10" ht="15.75">
      <c r="A50" s="903"/>
      <c r="B50" s="903"/>
      <c r="C50" s="902"/>
      <c r="D50" s="902"/>
      <c r="E50" s="902"/>
      <c r="F50" s="902"/>
      <c r="G50" s="902"/>
      <c r="H50" s="903"/>
      <c r="I50" s="902"/>
      <c r="J50" s="896"/>
    </row>
    <row r="51" spans="1:10" ht="15.75">
      <c r="A51" s="903"/>
      <c r="B51" s="902"/>
      <c r="C51" s="902"/>
      <c r="D51" s="902"/>
      <c r="E51" s="902"/>
      <c r="F51" s="902"/>
      <c r="G51" s="902"/>
      <c r="H51" s="902"/>
      <c r="I51" s="902"/>
      <c r="J51" s="896"/>
    </row>
    <row r="52" spans="1:10" ht="15.75">
      <c r="A52" s="902"/>
      <c r="B52" s="902"/>
      <c r="C52" s="902" t="s">
        <v>1047</v>
      </c>
      <c r="D52" s="902"/>
      <c r="E52" s="902"/>
      <c r="F52" s="902"/>
      <c r="G52" s="902"/>
      <c r="H52" s="896"/>
      <c r="I52" s="902"/>
      <c r="J52" s="896">
        <f>Comp1!J42</f>
        <v>0</v>
      </c>
    </row>
    <row r="53" spans="1:10" ht="15.75">
      <c r="A53" s="903"/>
      <c r="B53" s="902"/>
      <c r="C53" s="902" t="str">
        <f>CONCATENATE(J1," Mill Rate (Less Mills for other Governmental Units)")</f>
        <v>0 Mill Rate (Less Mills for other Governmental Units)</v>
      </c>
      <c r="D53" s="902"/>
      <c r="E53" s="902"/>
      <c r="F53" s="902"/>
      <c r="G53" s="902"/>
      <c r="H53" s="947"/>
      <c r="I53" s="902"/>
      <c r="J53" s="910"/>
    </row>
    <row r="54" spans="1:10" ht="15.75">
      <c r="A54" s="903"/>
      <c r="B54" s="902"/>
      <c r="C54" s="902"/>
      <c r="D54" s="902"/>
      <c r="E54" s="902"/>
      <c r="F54" s="902"/>
      <c r="G54" s="902"/>
      <c r="H54" s="902"/>
      <c r="I54" s="902"/>
      <c r="J54" s="896"/>
    </row>
    <row r="55" spans="1:10" ht="15.75">
      <c r="A55" s="903"/>
      <c r="B55" s="902"/>
      <c r="C55" s="902" t="str">
        <f>CONCATENATE("Loss of Assessed Valuation Multiplied by ",J1," Mill Rate")</f>
        <v>Loss of Assessed Valuation Multiplied by 0 Mill Rate</v>
      </c>
      <c r="D55" s="902"/>
      <c r="E55" s="902"/>
      <c r="F55" s="902"/>
      <c r="G55" s="902"/>
      <c r="H55" s="902"/>
      <c r="I55" s="902"/>
      <c r="J55" s="897">
        <f>(H44/1000)*H53</f>
        <v>0</v>
      </c>
    </row>
    <row r="56" spans="1:10" ht="15.75">
      <c r="A56" s="948"/>
      <c r="B56" s="912"/>
      <c r="C56" s="912" t="s">
        <v>1048</v>
      </c>
      <c r="D56" s="912"/>
      <c r="E56" s="912"/>
      <c r="F56" s="912"/>
      <c r="G56" s="912"/>
      <c r="H56" s="912"/>
      <c r="I56" s="912"/>
      <c r="J56" s="915">
        <f>SUM(J52:J55)</f>
        <v>0</v>
      </c>
    </row>
    <row r="57" spans="1:10" ht="15.75">
      <c r="A57" s="911"/>
      <c r="B57" s="912"/>
      <c r="C57" s="912"/>
      <c r="D57" s="912"/>
      <c r="E57" s="912"/>
      <c r="F57" s="912"/>
      <c r="G57" s="912"/>
      <c r="H57" s="912"/>
      <c r="I57" s="912"/>
      <c r="J57" s="913"/>
    </row>
    <row r="58" spans="1:10" ht="15.75">
      <c r="A58" s="911"/>
      <c r="B58" s="912"/>
      <c r="C58" s="912"/>
      <c r="D58" s="912"/>
      <c r="E58" s="912"/>
      <c r="F58" s="912"/>
      <c r="G58" s="912"/>
      <c r="H58" s="912"/>
      <c r="I58" s="912"/>
      <c r="J58" s="913"/>
    </row>
    <row r="59" spans="1:10" ht="15.75">
      <c r="A59" s="911"/>
      <c r="B59" s="912"/>
      <c r="C59" s="949" t="s">
        <v>1049</v>
      </c>
      <c r="D59" s="949"/>
      <c r="E59" s="949"/>
      <c r="F59" s="912"/>
      <c r="G59" s="912"/>
      <c r="H59" s="912"/>
      <c r="I59" s="914"/>
      <c r="J59" s="950" t="str">
        <f>IF(H49&lt;=J56,"Yes","No")</f>
        <v>Yes</v>
      </c>
    </row>
    <row r="60" spans="1:10" ht="15.75">
      <c r="A60" s="948"/>
      <c r="B60" s="912"/>
      <c r="C60" s="912"/>
      <c r="D60" s="912"/>
      <c r="E60" s="912"/>
      <c r="F60" s="912"/>
      <c r="G60" s="912"/>
      <c r="H60" s="912"/>
      <c r="I60" s="912"/>
      <c r="J60" s="915"/>
    </row>
    <row r="61" spans="1:10" ht="15.75">
      <c r="A61" s="948"/>
      <c r="B61" s="912"/>
      <c r="C61" s="912"/>
      <c r="D61" s="912"/>
      <c r="E61" s="912"/>
      <c r="F61" s="912"/>
      <c r="G61" s="912"/>
      <c r="H61" s="912"/>
      <c r="I61" s="912"/>
      <c r="J61" s="915"/>
    </row>
    <row r="62" spans="1:10" ht="18.75">
      <c r="A62" s="951"/>
      <c r="B62" s="949"/>
      <c r="C62" s="949"/>
      <c r="D62" s="919"/>
      <c r="E62" s="919"/>
      <c r="F62" s="919"/>
      <c r="G62" s="919"/>
      <c r="H62" s="919"/>
      <c r="I62" s="914"/>
      <c r="J62" s="950"/>
    </row>
    <row r="63" spans="1:10" ht="18.75">
      <c r="A63" s="921"/>
      <c r="B63" s="920"/>
      <c r="C63" s="921"/>
      <c r="D63" s="921"/>
      <c r="E63" s="921"/>
      <c r="F63" s="921"/>
      <c r="G63" s="921"/>
      <c r="H63" s="921"/>
      <c r="I63" s="922"/>
      <c r="J63" s="915"/>
    </row>
    <row r="64" spans="1:10" ht="18.75">
      <c r="A64" s="952"/>
      <c r="B64" s="953"/>
      <c r="C64" s="952"/>
      <c r="D64" s="952"/>
      <c r="E64" s="952"/>
      <c r="F64" s="952"/>
      <c r="G64" s="952"/>
      <c r="H64" s="952"/>
      <c r="I64" s="954"/>
      <c r="J64" s="955"/>
    </row>
    <row r="65" spans="1:10" ht="15.75">
      <c r="A65" s="1000"/>
      <c r="B65" s="1000"/>
      <c r="C65" s="1000"/>
      <c r="D65" s="1000"/>
      <c r="E65" s="1000"/>
      <c r="F65" s="1000"/>
      <c r="G65" s="1000"/>
      <c r="H65" s="1000"/>
      <c r="I65" s="1000"/>
      <c r="J65" s="1000"/>
    </row>
    <row r="66" spans="1:10" ht="15.75">
      <c r="A66" s="926"/>
      <c r="B66" s="926"/>
      <c r="C66" s="926"/>
      <c r="D66" s="926"/>
      <c r="E66" s="926"/>
      <c r="F66" s="925"/>
      <c r="G66" s="926"/>
      <c r="H66" s="926"/>
      <c r="I66" s="926"/>
      <c r="J66" s="926"/>
    </row>
    <row r="67" spans="1:10" ht="15.75">
      <c r="A67" s="1001"/>
      <c r="B67" s="1001"/>
      <c r="C67" s="1001"/>
      <c r="D67" s="1001"/>
      <c r="E67" s="1001"/>
      <c r="F67" s="1001"/>
      <c r="G67" s="1001"/>
      <c r="H67" s="1001"/>
      <c r="I67" s="1001"/>
      <c r="J67" s="1001"/>
    </row>
    <row r="68" spans="1:10" ht="15">
      <c r="A68" s="956"/>
      <c r="B68" s="956"/>
      <c r="C68" s="956"/>
      <c r="D68" s="956"/>
      <c r="E68" s="956"/>
      <c r="F68" s="956"/>
      <c r="G68" s="956"/>
      <c r="H68" s="956"/>
      <c r="I68" s="956"/>
      <c r="J68" s="956"/>
    </row>
  </sheetData>
  <sheetProtection/>
  <mergeCells count="4">
    <mergeCell ref="E4:G4"/>
    <mergeCell ref="A11:J11"/>
    <mergeCell ref="A65:J65"/>
    <mergeCell ref="A67:J6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2018-04-25T13:14:32Z</cp:lastPrinted>
  <dcterms:created xsi:type="dcterms:W3CDTF">1999-08-03T13:11:47Z</dcterms:created>
  <dcterms:modified xsi:type="dcterms:W3CDTF">2018-04-25T19:50:25Z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