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TIF CountyClerk" sheetId="18" r:id="rId18"/>
    <sheet name="Nhood" sheetId="19" r:id="rId19"/>
    <sheet name="Pub. Notice Option 1" sheetId="20" r:id="rId20"/>
    <sheet name="Pub. Notice Option 2" sheetId="21" r:id="rId21"/>
    <sheet name="Pub. Notice Option 3"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1">'DebtService'!$B$1:$E$65</definedName>
    <definedName name="_xlnm.Print_Area" localSheetId="10">'gen'!$B$1:$F$58</definedName>
    <definedName name="_xlnm.Print_Area" localSheetId="1">'inputPrYr'!$A$1:$E$46</definedName>
    <definedName name="_xlnm.Print_Area" localSheetId="0">'instructions'!$A$1:$A$101</definedName>
    <definedName name="_xlnm.Print_Area" localSheetId="12">'levypage8'!$A$1:$E$89</definedName>
    <definedName name="_xlnm.Print_Area" localSheetId="22">'Resolution'!$B$5:$B$16</definedName>
    <definedName name="_xlnm.Print_Area" localSheetId="16">'summ'!$A$1:$I$40</definedName>
  </definedNames>
  <calcPr fullCalcOnLoad="1"/>
</workbook>
</file>

<file path=xl/sharedStrings.xml><?xml version="1.0" encoding="utf-8"?>
<sst xmlns="http://schemas.openxmlformats.org/spreadsheetml/2006/main" count="1256" uniqueCount="861">
  <si>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</si>
  <si>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</si>
  <si>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</si>
  <si>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</si>
  <si>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</si>
  <si>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</si>
  <si>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</si>
  <si>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</si>
  <si>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</si>
  <si>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</si>
  <si>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</si>
  <si>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</si>
  <si>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</si>
  <si>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</si>
  <si>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</si>
  <si>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</si>
  <si>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</si>
  <si>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</si>
  <si>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</si>
  <si>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</si>
  <si>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</si>
  <si>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</si>
  <si>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</si>
  <si>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</si>
  <si>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</si>
  <si>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</si>
  <si>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</si>
  <si>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</si>
  <si>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 xml:space="preserve">  Assisted by:</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</si>
  <si>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</si>
  <si>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</si>
  <si>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</si>
  <si>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</si>
  <si>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</si>
  <si>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</si>
  <si>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</si>
  <si>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</si>
  <si>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</si>
  <si>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</si>
  <si>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</si>
  <si>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</si>
  <si>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</si>
  <si>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</si>
  <si>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</si>
  <si>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</si>
  <si>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</si>
  <si>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</si>
  <si>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</si>
  <si>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</si>
  <si>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</si>
  <si>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</si>
  <si>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</si>
  <si>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</si>
  <si>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</si>
  <si>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</si>
  <si>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</si>
  <si>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</si>
  <si>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</si>
  <si>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</si>
  <si>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</si>
  <si>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</si>
  <si>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</si>
  <si>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</si>
  <si>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</si>
  <si>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</si>
  <si>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</si>
  <si>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</si>
  <si>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</si>
  <si>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</si>
  <si>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</si>
  <si>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</si>
  <si>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</si>
  <si>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</si>
  <si>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</si>
  <si>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</si>
  <si>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</si>
  <si>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</si>
  <si>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</si>
  <si>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</si>
  <si>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</si>
  <si>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</si>
  <si>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</si>
  <si>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</si>
  <si>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</si>
  <si>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</si>
  <si>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</si>
  <si>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</si>
  <si>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</si>
  <si>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</si>
  <si>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</si>
  <si>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</si>
  <si>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</si>
  <si>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</si>
  <si>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</si>
  <si>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</si>
  <si>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</si>
  <si>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</si>
  <si>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</si>
  <si>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</si>
  <si>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</si>
  <si>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</si>
  <si>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</si>
  <si>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</si>
  <si>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</si>
  <si>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</si>
  <si>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</si>
  <si>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</si>
  <si>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</si>
  <si>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</si>
  <si>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</si>
  <si>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</si>
  <si>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</si>
  <si>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</si>
  <si>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</si>
  <si>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</si>
  <si>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</si>
  <si>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</si>
  <si>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</si>
  <si>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</si>
  <si>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</si>
  <si>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</si>
  <si>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</si>
  <si>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</si>
  <si>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</si>
  <si>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</si>
  <si>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</si>
  <si>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</si>
  <si>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 xml:space="preserve">  Address:</t>
  </si>
  <si>
    <t xml:space="preserve">1.  The used of this spreadsheet is designed for a special district having only one county support.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</si>
  <si>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</si>
  <si>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</si>
  <si>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</si>
  <si>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</si>
  <si>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</si>
  <si>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</si>
  <si>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</si>
  <si>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</si>
  <si>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</si>
  <si>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</si>
  <si>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</si>
  <si>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</si>
  <si>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</si>
  <si>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</si>
  <si>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</si>
  <si>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</si>
  <si>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</si>
  <si>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</si>
  <si>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</si>
  <si>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</si>
  <si>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</si>
  <si>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</si>
  <si>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</si>
  <si>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</si>
  <si>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</si>
  <si>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</si>
  <si>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</si>
  <si>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</si>
  <si>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</si>
  <si>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</si>
  <si>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</si>
  <si>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 xml:space="preserve">10. Hard coded the Bond &amp; Interest fund to the Certificate and Budget Summary pages. Also made the </t>
  </si>
  <si>
    <t>Attest: _________________,</t>
  </si>
  <si>
    <t>Tax Rate*</t>
  </si>
  <si>
    <t>Budget Summary</t>
  </si>
  <si>
    <t>Total Tax Rates</t>
  </si>
  <si>
    <t>Rate used in this budget will be shown on all fund pages with a tax levy**</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</si>
  <si>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</si>
  <si>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</si>
  <si>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</si>
  <si>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</si>
  <si>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</si>
  <si>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</si>
  <si>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</si>
  <si>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</si>
  <si>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</si>
  <si>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</si>
  <si>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</si>
  <si>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</si>
  <si>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</si>
  <si>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</si>
  <si>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</si>
  <si>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</si>
  <si>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</si>
  <si>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</si>
  <si>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</si>
  <si>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</si>
  <si>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</si>
  <si>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</si>
  <si>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</si>
  <si>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</si>
  <si>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</si>
  <si>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</si>
  <si>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</si>
  <si>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</si>
  <si>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</si>
  <si>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</si>
  <si>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</si>
  <si>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</si>
  <si>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</si>
  <si>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</si>
  <si>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</si>
  <si>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</si>
  <si>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</si>
  <si>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</si>
  <si>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</si>
  <si>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</si>
  <si>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</si>
  <si>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</si>
  <si>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</si>
  <si>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</si>
  <si>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</si>
  <si>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</si>
  <si>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</si>
  <si>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</si>
  <si>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</si>
  <si>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</si>
  <si>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</si>
  <si>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</si>
  <si>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</si>
  <si>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</si>
  <si>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</si>
  <si>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</si>
  <si>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</si>
  <si>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</si>
  <si>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</si>
  <si>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39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</si>
  <si>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</si>
  <si>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</si>
  <si>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</si>
  <si>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A16 added 'If amend ….'</t>
  </si>
  <si>
    <t>For County Clerk Use Only</t>
  </si>
  <si>
    <t>*</t>
  </si>
  <si>
    <t>Less November 1st Total Assessed Valuation TIF District:</t>
  </si>
  <si>
    <t>November 1st Total Assessed Valuation without TIF:</t>
  </si>
  <si>
    <t>Add Valuation for Base Year TIF District:</t>
  </si>
  <si>
    <t>*County Clerk enters November 1st valuation.</t>
  </si>
  <si>
    <t>** Amount linked to the Certificate Page block "County Clerk's Use Only".</t>
  </si>
  <si>
    <t>Computation Ad Valorem Tax Total TIF District</t>
  </si>
  <si>
    <t>November 1st Total Assessed Valuation for TIF District:</t>
  </si>
  <si>
    <t>Ad Valorem Tax for TIF District:</t>
  </si>
  <si>
    <t>Computation Ad Valorem Tax Base TIF District</t>
  </si>
  <si>
    <t>Valuation for Base Year TIF District:</t>
  </si>
  <si>
    <t>Ad Valorem Tax for Base Year TIF District:</t>
  </si>
  <si>
    <t>Computation Ad Valorem Tax Distribution TIF District</t>
  </si>
  <si>
    <t>Less Ad Valorem Tax for Base Year TIF District:</t>
  </si>
  <si>
    <r>
      <rPr>
        <b/>
        <sz val="12"/>
        <rFont val="Times New Roman"/>
        <family val="1"/>
      </rPr>
      <t>Total</t>
    </r>
    <r>
      <rPr>
        <sz val="12"/>
        <rFont val="Times New Roman"/>
        <family val="1"/>
      </rPr>
      <t xml:space="preserve"> Ad Valorem Distribution to TIF District:</t>
    </r>
  </si>
  <si>
    <t>***</t>
  </si>
  <si>
    <t>***Tax amount County Clerk provides to the County Treasurer for TIF District tax distributation.</t>
  </si>
  <si>
    <t>Tax Increment Funding (TIF) - Base Year Assessed Valuation</t>
  </si>
  <si>
    <t>Current Year TIF Assessed Valuation</t>
  </si>
  <si>
    <t>Special District TIF Computer Spreadsheet Preparation</t>
  </si>
  <si>
    <t>Tax Increment Financing</t>
  </si>
  <si>
    <t>15. Added warning "Exceeds 5%" on all fund pages for the non-appropriated balance.</t>
  </si>
  <si>
    <t>19. Added Slider on the Vehicle Allocation table and linked to fund pages.</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</si>
  <si>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</si>
  <si>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</si>
  <si>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</si>
  <si>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</si>
  <si>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</si>
  <si>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</si>
  <si>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</si>
  <si>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</si>
  <si>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</si>
  <si>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</si>
  <si>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</si>
  <si>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</si>
  <si>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</si>
  <si>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</si>
  <si>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</si>
  <si>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</si>
  <si>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</si>
  <si>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</si>
  <si>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</si>
  <si>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</si>
  <si>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</si>
  <si>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</si>
  <si>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</si>
  <si>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</si>
  <si>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</si>
  <si>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</si>
  <si>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</si>
  <si>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</si>
  <si>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</si>
  <si>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</si>
  <si>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</si>
  <si>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</si>
  <si>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</si>
  <si>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</si>
  <si>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</si>
  <si>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</si>
  <si>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</si>
  <si>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</si>
  <si>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</si>
  <si>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</si>
  <si>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</si>
  <si>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</si>
  <si>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</si>
  <si>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and nolevy pages)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</si>
  <si>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</si>
  <si>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</si>
  <si>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</si>
  <si>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</si>
  <si>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</si>
  <si>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</si>
  <si>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</si>
  <si>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</si>
  <si>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</si>
  <si>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</si>
  <si>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</si>
  <si>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</si>
  <si>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</si>
  <si>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</si>
  <si>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</si>
  <si>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</si>
  <si>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</si>
  <si>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</si>
  <si>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</si>
  <si>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</si>
  <si>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</si>
  <si>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</si>
  <si>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</si>
  <si>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</si>
  <si>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</si>
  <si>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</si>
  <si>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</si>
  <si>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</si>
  <si>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</si>
  <si>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</si>
  <si>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</si>
  <si>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</si>
  <si>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</si>
  <si>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</si>
  <si>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</si>
  <si>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</si>
  <si>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</si>
  <si>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</si>
  <si>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</si>
  <si>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</si>
  <si>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</si>
  <si>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</si>
  <si>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</si>
  <si>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</si>
  <si>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</si>
  <si>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</si>
  <si>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</si>
  <si>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</si>
  <si>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</si>
  <si>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</si>
  <si>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</si>
  <si>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</si>
  <si>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</si>
  <si>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</si>
  <si>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</si>
  <si>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</si>
  <si>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</si>
  <si>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</si>
  <si>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</si>
  <si>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</si>
  <si>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</si>
  <si>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</si>
  <si>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</si>
  <si>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</si>
  <si>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</si>
  <si>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</si>
  <si>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</si>
  <si>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</si>
  <si>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</si>
  <si>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</si>
  <si>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</si>
  <si>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</si>
  <si>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</si>
  <si>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</si>
  <si>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</si>
  <si>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</si>
  <si>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</si>
  <si>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</si>
  <si>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</si>
  <si>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</si>
  <si>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</si>
  <si>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</si>
  <si>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</si>
  <si>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</si>
  <si>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</si>
  <si>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</si>
  <si>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</si>
  <si>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</si>
  <si>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</si>
  <si>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</si>
  <si>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</si>
  <si>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</si>
  <si>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</si>
  <si>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</si>
  <si>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</si>
  <si>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</si>
  <si>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</si>
  <si>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</si>
  <si>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</si>
  <si>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</si>
  <si>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</si>
  <si>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</si>
  <si>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</si>
  <si>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</si>
  <si>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</si>
  <si>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</si>
  <si>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</si>
  <si>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</si>
  <si>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</si>
  <si>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</si>
  <si>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</si>
  <si>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</si>
  <si>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</si>
  <si>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</si>
  <si>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</si>
  <si>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</si>
  <si>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</si>
  <si>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</si>
  <si>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</si>
  <si>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</si>
  <si>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</si>
  <si>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</si>
  <si>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</si>
  <si>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</si>
  <si>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</si>
  <si>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</si>
  <si>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</si>
  <si>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</si>
  <si>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</si>
  <si>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</si>
  <si>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</si>
  <si>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</si>
  <si>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</si>
  <si>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</si>
  <si>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</si>
  <si>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</si>
  <si>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</si>
  <si>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</si>
  <si>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</si>
  <si>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</si>
  <si>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</si>
  <si>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</si>
  <si>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</si>
  <si>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</si>
  <si>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</si>
  <si>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</si>
  <si>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</si>
  <si>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</si>
  <si>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</si>
  <si>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</si>
  <si>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</si>
  <si>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</si>
  <si>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</si>
  <si>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</si>
  <si>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</si>
  <si>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</si>
  <si>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</si>
  <si>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</si>
  <si>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</si>
  <si>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</si>
  <si>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</si>
  <si>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</si>
  <si>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</si>
  <si>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</si>
  <si>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</si>
  <si>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</si>
  <si>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</si>
  <si>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</si>
  <si>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</si>
  <si>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</si>
  <si>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</si>
  <si>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</si>
  <si>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</si>
  <si>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</si>
  <si>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</si>
  <si>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</si>
  <si>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</si>
  <si>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</si>
  <si>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</si>
  <si>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</si>
  <si>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</si>
  <si>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</si>
  <si>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</si>
  <si>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</si>
  <si>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</si>
  <si>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</si>
  <si>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</si>
  <si>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</si>
  <si>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</si>
  <si>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</si>
  <si>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</si>
  <si>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</si>
  <si>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</si>
  <si>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</si>
  <si>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</si>
  <si>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</si>
  <si>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</si>
  <si>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</si>
  <si>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</si>
  <si>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</si>
  <si>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</si>
  <si>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</si>
  <si>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</si>
  <si>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</si>
  <si>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</si>
  <si>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</si>
  <si>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</si>
  <si>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</si>
  <si>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</si>
  <si>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</si>
  <si>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</si>
  <si>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November 1st Total Assessed Valuation for Special Dist:</t>
  </si>
  <si>
    <t>November 1st - Special District's Net Assessed Valuation:</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</si>
  <si>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</si>
  <si>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</si>
  <si>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</si>
  <si>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</si>
  <si>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</si>
  <si>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</si>
  <si>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</si>
  <si>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</si>
  <si>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</si>
  <si>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</si>
  <si>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</si>
  <si>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</si>
  <si>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</si>
  <si>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</si>
  <si>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</si>
  <si>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</si>
  <si>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</si>
  <si>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</si>
  <si>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</si>
  <si>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</si>
  <si>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</si>
  <si>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</si>
  <si>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</si>
  <si>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</si>
  <si>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</si>
  <si>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</si>
  <si>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</si>
  <si>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</si>
  <si>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</si>
  <si>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</si>
  <si>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</si>
  <si>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</si>
  <si>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</si>
  <si>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</si>
  <si>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</si>
  <si>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</si>
  <si>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</si>
  <si>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</si>
  <si>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</si>
  <si>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</si>
  <si>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</si>
  <si>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</si>
  <si>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</si>
  <si>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</si>
  <si>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</si>
  <si>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</si>
  <si>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</si>
  <si>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</si>
  <si>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</si>
  <si>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</si>
  <si>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</si>
  <si>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</si>
  <si>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</si>
  <si>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</si>
  <si>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</si>
  <si>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</si>
  <si>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</si>
  <si>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</si>
  <si>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</si>
  <si>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</si>
  <si>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</si>
  <si>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</si>
  <si>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</si>
  <si>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</si>
  <si>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</si>
  <si>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</si>
  <si>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</si>
  <si>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</si>
  <si>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</si>
  <si>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</si>
  <si>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</si>
  <si>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</si>
  <si>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</si>
  <si>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</si>
  <si>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</si>
  <si>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</si>
  <si>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</si>
  <si>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</si>
  <si>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</si>
  <si>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</si>
  <si>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</si>
  <si>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</si>
  <si>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</si>
  <si>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</si>
  <si>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</si>
  <si>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</si>
  <si>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</si>
  <si>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</si>
  <si>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</si>
  <si>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</si>
  <si>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</si>
  <si>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for Expenditures</t>
  </si>
  <si>
    <t>In Lieu of Taxes (IRB)</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</si>
  <si>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</si>
  <si>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</si>
  <si>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</si>
  <si>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</si>
  <si>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</si>
  <si>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</si>
  <si>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</si>
  <si>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</si>
  <si>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</si>
  <si>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</si>
  <si>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13. Summ tab merged cells above the 'Township Officer' and center a name if used</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</si>
  <si>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</si>
  <si>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</si>
  <si>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</si>
  <si>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</si>
  <si>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</si>
  <si>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17. TIF tab - table created to compute special district valuation to determine mill rates and dollar amount the county passes along to the city's TIF district.</t>
  </si>
  <si>
    <t>17a. Summ tab proposed valuation is adjusted for the TIF district which is used to compute the mill rates.</t>
  </si>
  <si>
    <t>17b. TIF CountyClerk tab computes the November TIF amount. In the first block, the county clerk enters the November valuations which then computes valuation for the special district and links to the cert tab in order to compute the special district's mill rates. The second table, takes the special district's mill rates to compute the amount for city's distributation for the TIF district. County Clerk passes this amount on to the County Treasurer for distribution to the City's TIF district.</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</si>
  <si>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</si>
  <si>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</si>
  <si>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</si>
  <si>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</si>
  <si>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</si>
  <si>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</si>
  <si>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Type</t>
  </si>
  <si>
    <t xml:space="preserve">of </t>
  </si>
  <si>
    <t>Debt</t>
  </si>
  <si>
    <t>Purchased</t>
  </si>
  <si>
    <t>Items</t>
  </si>
  <si>
    <t xml:space="preserve">  Email:</t>
  </si>
  <si>
    <t>__________________________  ___________________________</t>
  </si>
  <si>
    <t>Allocation MVT, RVT,16/20M Vehicle Tax</t>
  </si>
  <si>
    <t>Official Name:</t>
  </si>
  <si>
    <t>Official Title:</t>
  </si>
  <si>
    <t>January</t>
  </si>
  <si>
    <t>February</t>
  </si>
  <si>
    <t>March</t>
  </si>
  <si>
    <t>April</t>
  </si>
  <si>
    <t>May</t>
  </si>
  <si>
    <t>June</t>
  </si>
  <si>
    <t>July</t>
  </si>
  <si>
    <t>August</t>
  </si>
  <si>
    <t>September</t>
  </si>
  <si>
    <t>October</t>
  </si>
  <si>
    <t>November</t>
  </si>
  <si>
    <t>December</t>
  </si>
  <si>
    <t>Must be at least 10 days between date published and hearing held.</t>
  </si>
  <si>
    <t>Expenditures Must Be Changed by:</t>
  </si>
  <si>
    <t>Mill Rate Comparison</t>
  </si>
  <si>
    <t xml:space="preserve">Amounts used in lieu of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</si>
  <si>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</si>
  <si>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</si>
  <si>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</si>
  <si>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</si>
  <si>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</si>
  <si>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</si>
  <si>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</si>
  <si>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</si>
  <si>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</si>
  <si>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</si>
  <si>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</si>
  <si>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</si>
  <si>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</si>
  <si>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</si>
  <si>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</si>
  <si>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</si>
  <si>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</si>
  <si>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</si>
  <si>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</si>
  <si>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</si>
  <si>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</si>
  <si>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</si>
  <si>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</si>
  <si>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</si>
  <si>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Please read these instructions carefully.  If after reviewing them you still have questions, call Rogers Brazier at 785.296.2846 or email to armunis@da.ks.gov </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</si>
  <si>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</si>
  <si>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</si>
  <si>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</si>
  <si>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</si>
  <si>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6b.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</si>
  <si>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</si>
  <si>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</si>
  <si>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</si>
  <si>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</si>
  <si>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</si>
  <si>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</si>
  <si>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</si>
  <si>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</si>
  <si>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</si>
  <si>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</si>
  <si>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</si>
  <si>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</si>
  <si>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</si>
  <si>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</si>
  <si>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</si>
  <si>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</si>
  <si>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</si>
  <si>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</si>
  <si>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</si>
  <si>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1.  Added the Round function to cell J38 in the computation tab so the result will be a whole number.</t>
  </si>
  <si>
    <t>Enter special district name (may be longer than green cell):</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</si>
  <si>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</si>
  <si>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</si>
  <si>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</si>
  <si>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Enter year being budgeted (YYYY):</t>
  </si>
  <si>
    <t>How to Compute the Value of One Mill, and the Impact of Tax Dollars and Assessed Valuation on Mill Rates</t>
  </si>
  <si>
    <t>Enter county name followed by "County":</t>
  </si>
  <si>
    <t>Special District TIF Budget Workbook Instructions</t>
  </si>
  <si>
    <t>Input Sheet for Special District TIF Budget Workbook</t>
  </si>
  <si>
    <t>Commercial Vehicle Tax Estimate</t>
  </si>
  <si>
    <t>Watercraft Tax Estimate</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</si>
  <si>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</si>
  <si>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</si>
  <si>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</si>
  <si>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</si>
  <si>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</si>
  <si>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</si>
  <si>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</si>
  <si>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</si>
  <si>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</si>
  <si>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</si>
  <si>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</si>
  <si>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</si>
  <si>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</si>
  <si>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</si>
  <si>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Resolution required?  Vote publication required?</t>
  </si>
  <si>
    <t>The following changes were made to this workbook on 10/1/2015</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</si>
  <si>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</si>
  <si>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</si>
  <si>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</si>
  <si>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</si>
  <si>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</si>
  <si>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</si>
  <si>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</si>
  <si>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</si>
  <si>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1/22/2016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</si>
  <si>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</si>
  <si>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</si>
  <si>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</si>
  <si>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</si>
  <si>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</si>
  <si>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</si>
  <si>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</si>
  <si>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</si>
  <si>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</si>
  <si>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10/30/2014</t>
  </si>
  <si>
    <t>The following changes were made to this workbook on7/15/2014</t>
  </si>
  <si>
    <t>The following changes were made to this workbook on 5/23/2014</t>
  </si>
  <si>
    <t>The following changes were made to this workbook on 4/22/2014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</si>
  <si>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</si>
  <si>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</si>
  <si>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</si>
  <si>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</si>
  <si>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10/10/2012</t>
  </si>
  <si>
    <t>1.  Added "resolution required?  yes/no" message to area adjacent to each tax levy fund.</t>
  </si>
  <si>
    <t>The following changes were made to this workbook on 6/12/2012</t>
  </si>
  <si>
    <t>1.  Corrected Debt Tab, included spacing so page number would not overwrite the written instruction on the bottom of the page.</t>
  </si>
  <si>
    <t>The following changes were made to this workbook on 1/31/2012</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</si>
  <si>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</si>
  <si>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</si>
  <si>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</si>
  <si>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</si>
  <si>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</si>
  <si>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</si>
  <si>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</si>
  <si>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</si>
  <si>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</si>
  <si>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</si>
  <si>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</si>
  <si>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</si>
  <si>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</si>
  <si>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</si>
  <si>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</si>
  <si>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</si>
  <si>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</si>
  <si>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</si>
  <si>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</si>
  <si>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</si>
  <si>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</si>
  <si>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</si>
  <si>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</si>
  <si>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</si>
  <si>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</si>
  <si>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10/29/2010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</si>
  <si>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</si>
  <si>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</si>
  <si>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</si>
  <si>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</si>
  <si>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</si>
  <si>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</si>
  <si>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</si>
  <si>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</si>
  <si>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</si>
  <si>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</si>
  <si>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</si>
  <si>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</si>
  <si>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</si>
  <si>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</si>
  <si>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</si>
  <si>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</si>
  <si>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</si>
  <si>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</si>
  <si>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</si>
  <si>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</si>
  <si>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</si>
  <si>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</si>
  <si>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</si>
  <si>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</si>
  <si>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</si>
  <si>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</si>
  <si>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</si>
  <si>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</si>
  <si>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</si>
  <si>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</si>
  <si>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</si>
  <si>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</si>
  <si>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</si>
  <si>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10/1/2009</t>
  </si>
  <si>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</si>
  <si>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</si>
  <si>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</si>
  <si>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</si>
  <si>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</si>
  <si>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</si>
  <si>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7. Certificate tab moved the Assisted By: and added more lines for governing body signatures.</t>
  </si>
  <si>
    <t>The following changes were made to this workbook on 9/21/2009</t>
  </si>
  <si>
    <t>1. Cert tab on line F36 linked the Nov valuation from the TIF CountyClerk tab.</t>
  </si>
  <si>
    <t>2. Created TIF CountyClerk tab.</t>
  </si>
  <si>
    <t>3. Instruction tab added rule 15 for TIF.</t>
  </si>
  <si>
    <t>4. Inputoth tab added lines 13 and 14 for TIF.</t>
  </si>
  <si>
    <t>5. Summ tab adjusted the proposed assessed valuation for TIF.</t>
  </si>
  <si>
    <t>The following changes were made to this workbook on 9/1/2009</t>
  </si>
  <si>
    <t>1. Mvalloc changed cells c11 to c14 from cell reference 'D' to 'E.'</t>
  </si>
  <si>
    <t>3. Levypage8 tab C31, C32, E31 added conditional rule.</t>
  </si>
  <si>
    <t>4. Nolevypage9 tab C31, C32, D31 added conditional rule.</t>
  </si>
  <si>
    <t>The following were changed to this spreadsheet on 3/19/2009</t>
  </si>
  <si>
    <t>1. Certificate page change Bond &amp; Interest to Debt Service and Adopted to Adopted.</t>
  </si>
  <si>
    <t>2. Debt Service page change the fund name from Bond &amp; Interest to Debt Service.</t>
  </si>
  <si>
    <t>3. Budget Summary change the fund name from Bond &amp; Interest to Debt Service.</t>
  </si>
  <si>
    <t>The following were changed to this spreadsheet on 2/23/2009</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</si>
  <si>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</si>
  <si>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</si>
  <si>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</si>
  <si>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</si>
  <si>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</si>
  <si>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</si>
  <si>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</si>
  <si>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</si>
  <si>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</si>
  <si>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</si>
  <si>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</si>
  <si>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</si>
  <si>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</si>
  <si>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</si>
  <si>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The following changes were made to this workbook on 2/25/2016</t>
  </si>
  <si>
    <t>1.  Added K.S.A. 80-1559 thumbnail to the NonBudFunds tab.</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</si>
</sst>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 numFmtId="191" formatCode="m/d/yy;@"/>
    <numFmt numFmtId="192" formatCode="#,##0.000_);[Red]\(#,##0.000\)"/>
  </numFmts>
  <fonts count="9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u val="single"/>
      <sz val="12"/>
      <color indexed="12"/>
      <name val="Courier"/>
      <family val="3"/>
    </font>
    <font>
      <i/>
      <u val="single"/>
      <sz val="12"/>
      <name val="Courier"/>
      <family val="3"/>
    </font>
    <font>
      <b/>
      <sz val="13"/>
      <name val="Times New Roman"/>
      <family val="1"/>
    </font>
    <font>
      <u val="single"/>
      <sz val="12"/>
      <color indexed="12"/>
      <name val="Times New Roman"/>
      <family val="1"/>
    </font>
    <font>
      <sz val="11"/>
      <name val="Cambria"/>
      <family val="1"/>
    </font>
    <font>
      <b/>
      <sz val="11"/>
      <color indexed="8"/>
      <name val="Cambria"/>
      <family val="1"/>
    </font>
    <font>
      <i/>
      <sz val="12"/>
      <color indexed="8"/>
      <name val="Times New Roman"/>
      <family val="1"/>
    </font>
    <font>
      <b/>
      <u val="single"/>
      <sz val="10"/>
      <name val="Times New Roman"/>
      <family val="1"/>
    </font>
    <font>
      <b/>
      <sz val="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b/>
      <sz val="8"/>
      <color indexed="10"/>
      <name val="Times New Roman"/>
      <family val="1"/>
    </font>
    <font>
      <sz val="8"/>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2"/>
      <color theme="0"/>
      <name val="Times New Roman"/>
      <family val="1"/>
    </font>
    <font>
      <b/>
      <sz val="10"/>
      <color rgb="FFFF0000"/>
      <name val="Times New Roman"/>
      <family val="1"/>
    </font>
    <font>
      <b/>
      <u val="single"/>
      <sz val="11"/>
      <color theme="1"/>
      <name val="Calibri"/>
      <family val="2"/>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00FF00"/>
        <bgColor indexed="64"/>
      </patternFill>
    </fill>
    <fill>
      <patternFill patternType="solid">
        <fgColor rgb="FFFFFF00"/>
        <bgColor indexed="64"/>
      </patternFill>
    </fill>
    <fill>
      <patternFill patternType="solid">
        <fgColor indexed="15"/>
        <bgColor indexed="64"/>
      </patternFill>
    </fill>
    <fill>
      <patternFill patternType="solid">
        <fgColor indexed="35"/>
        <bgColor indexed="64"/>
      </patternFill>
    </fill>
    <fill>
      <patternFill patternType="solid">
        <fgColor rgb="FFFF0000"/>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FF00FF"/>
        <bgColor indexed="64"/>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18">
    <xf numFmtId="0" fontId="0" fillId="0" borderId="0" xfId="0" applyAlignment="1">
      <alignment/>
    </xf>
    <xf numFmtId="0" fontId="4" fillId="33" borderId="0" xfId="0" applyFont="1" applyFill="1" applyAlignment="1" applyProtection="1">
      <alignment vertical="center"/>
      <protection/>
    </xf>
    <xf numFmtId="37" fontId="4" fillId="33"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4" fillId="33" borderId="0" xfId="0" applyFont="1" applyFill="1" applyAlignment="1" applyProtection="1">
      <alignment horizontal="right" vertical="center"/>
      <protection/>
    </xf>
    <xf numFmtId="37" fontId="4" fillId="33" borderId="0" xfId="0" applyNumberFormat="1" applyFont="1" applyFill="1" applyAlignment="1" applyProtection="1">
      <alignment vertical="center"/>
      <protection/>
    </xf>
    <xf numFmtId="0" fontId="4" fillId="33" borderId="0" xfId="0" applyFont="1" applyFill="1" applyAlignment="1" applyProtection="1">
      <alignment vertical="center"/>
      <protection locked="0"/>
    </xf>
    <xf numFmtId="0" fontId="4" fillId="33" borderId="0" xfId="0" applyFont="1" applyFill="1" applyAlignment="1" applyProtection="1">
      <alignment horizontal="centerContinuous" vertical="center"/>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37" fontId="4" fillId="33" borderId="12" xfId="0" applyNumberFormat="1" applyFont="1" applyFill="1" applyBorder="1" applyAlignment="1" applyProtection="1">
      <alignment vertical="center"/>
      <protection/>
    </xf>
    <xf numFmtId="0" fontId="4" fillId="33" borderId="0" xfId="0" applyFont="1" applyFill="1" applyAlignment="1" applyProtection="1">
      <alignment horizontal="fill" vertical="center"/>
      <protection/>
    </xf>
    <xf numFmtId="0" fontId="4" fillId="33" borderId="12" xfId="0" applyFont="1" applyFill="1" applyBorder="1" applyAlignment="1" applyProtection="1">
      <alignment horizontal="left" vertical="center"/>
      <protection/>
    </xf>
    <xf numFmtId="37" fontId="4" fillId="34" borderId="13"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xf>
    <xf numFmtId="37" fontId="4" fillId="33" borderId="14" xfId="0" applyNumberFormat="1" applyFont="1" applyFill="1" applyBorder="1" applyAlignment="1" applyProtection="1">
      <alignment vertical="center"/>
      <protection/>
    </xf>
    <xf numFmtId="3" fontId="4" fillId="33" borderId="14"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0" xfId="0" applyFont="1" applyFill="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5" borderId="11" xfId="0" applyFont="1" applyFill="1" applyBorder="1" applyAlignment="1" applyProtection="1">
      <alignment vertical="center"/>
      <protection locked="0"/>
    </xf>
    <xf numFmtId="171" fontId="4" fillId="35" borderId="11" xfId="42" applyNumberFormat="1" applyFont="1" applyFill="1" applyBorder="1" applyAlignment="1" applyProtection="1">
      <alignment vertical="center"/>
      <protection locked="0"/>
    </xf>
    <xf numFmtId="0" fontId="4" fillId="35" borderId="12" xfId="0" applyFont="1" applyFill="1" applyBorder="1" applyAlignment="1" applyProtection="1">
      <alignment vertical="center"/>
      <protection locked="0"/>
    </xf>
    <xf numFmtId="171" fontId="4" fillId="35" borderId="12" xfId="42" applyNumberFormat="1" applyFont="1" applyFill="1" applyBorder="1" applyAlignment="1" applyProtection="1">
      <alignment vertical="center"/>
      <protection locked="0"/>
    </xf>
    <xf numFmtId="0" fontId="6" fillId="35" borderId="12" xfId="0" applyFont="1" applyFill="1" applyBorder="1" applyAlignment="1" applyProtection="1">
      <alignment vertical="center"/>
      <protection locked="0"/>
    </xf>
    <xf numFmtId="0" fontId="4" fillId="33" borderId="0" xfId="0" applyFont="1" applyFill="1" applyAlignment="1" applyProtection="1">
      <alignment horizontal="center" vertical="center"/>
      <protection/>
    </xf>
    <xf numFmtId="0" fontId="5" fillId="33" borderId="12" xfId="0" applyFont="1" applyFill="1" applyBorder="1" applyAlignment="1" applyProtection="1">
      <alignment horizontal="center" vertical="center"/>
      <protection/>
    </xf>
    <xf numFmtId="3" fontId="4" fillId="34" borderId="12"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0" fontId="0" fillId="0" borderId="0" xfId="0" applyAlignment="1">
      <alignment vertical="center"/>
    </xf>
    <xf numFmtId="37" fontId="5" fillId="33" borderId="12"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right" vertical="center"/>
      <protection/>
    </xf>
    <xf numFmtId="0" fontId="4" fillId="35" borderId="12"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5" fillId="33" borderId="0" xfId="646" applyFont="1" applyFill="1" applyAlignment="1" applyProtection="1">
      <alignment horizontal="centerContinuous" vertical="center"/>
      <protection/>
    </xf>
    <xf numFmtId="0" fontId="4" fillId="33" borderId="0" xfId="645" applyFont="1" applyFill="1" applyAlignment="1" applyProtection="1">
      <alignment horizontal="centerContinuous" vertical="center"/>
      <protection/>
    </xf>
    <xf numFmtId="0" fontId="4" fillId="0" borderId="0" xfId="645" applyFont="1" applyAlignment="1" applyProtection="1">
      <alignment vertical="center"/>
      <protection locked="0"/>
    </xf>
    <xf numFmtId="0" fontId="4" fillId="33" borderId="0" xfId="645"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6"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 vertical="center"/>
      <protection/>
    </xf>
    <xf numFmtId="0" fontId="4" fillId="33" borderId="18" xfId="0" applyFont="1" applyFill="1" applyBorder="1" applyAlignment="1" applyProtection="1">
      <alignment horizontal="centerContinuous" vertical="center"/>
      <protection/>
    </xf>
    <xf numFmtId="0" fontId="4" fillId="33" borderId="19" xfId="0" applyFont="1" applyFill="1" applyBorder="1" applyAlignment="1" applyProtection="1">
      <alignment horizontal="centerContinuous" vertical="center"/>
      <protection/>
    </xf>
    <xf numFmtId="14" fontId="4" fillId="33" borderId="11" xfId="0" applyNumberFormat="1" applyFont="1" applyFill="1" applyBorder="1" applyAlignment="1" applyProtection="1" quotePrefix="1">
      <alignment horizontal="center" vertical="center"/>
      <protection/>
    </xf>
    <xf numFmtId="172" fontId="4" fillId="33" borderId="12" xfId="0" applyNumberFormat="1" applyFont="1" applyFill="1" applyBorder="1" applyAlignment="1" applyProtection="1">
      <alignment horizontal="left" vertical="center"/>
      <protection/>
    </xf>
    <xf numFmtId="173" fontId="4" fillId="33" borderId="12" xfId="0" applyNumberFormat="1" applyFont="1" applyFill="1" applyBorder="1" applyAlignment="1" applyProtection="1">
      <alignment horizontal="left" vertical="center"/>
      <protection/>
    </xf>
    <xf numFmtId="0" fontId="4" fillId="35" borderId="12" xfId="0" applyFont="1" applyFill="1" applyBorder="1" applyAlignment="1" applyProtection="1">
      <alignment horizontal="left" vertical="center"/>
      <protection locked="0"/>
    </xf>
    <xf numFmtId="3" fontId="4" fillId="35" borderId="12" xfId="0" applyNumberFormat="1" applyFont="1" applyFill="1" applyBorder="1" applyAlignment="1" applyProtection="1">
      <alignment vertical="center"/>
      <protection locked="0"/>
    </xf>
    <xf numFmtId="173" fontId="4" fillId="35" borderId="12" xfId="0" applyNumberFormat="1" applyFont="1" applyFill="1" applyBorder="1" applyAlignment="1" applyProtection="1">
      <alignment horizontal="left" vertical="center"/>
      <protection locked="0"/>
    </xf>
    <xf numFmtId="0" fontId="4" fillId="35" borderId="12" xfId="0" applyFont="1" applyFill="1" applyBorder="1" applyAlignment="1" applyProtection="1">
      <alignment vertical="center"/>
      <protection locked="0"/>
    </xf>
    <xf numFmtId="2" fontId="4" fillId="35" borderId="12"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173" fontId="4" fillId="35" borderId="12" xfId="0" applyNumberFormat="1" applyFont="1" applyFill="1" applyBorder="1" applyAlignment="1" applyProtection="1">
      <alignment vertical="center"/>
      <protection locked="0"/>
    </xf>
    <xf numFmtId="37" fontId="4" fillId="35" borderId="12" xfId="0" applyNumberFormat="1"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173" fontId="4" fillId="33" borderId="12" xfId="0" applyNumberFormat="1" applyFont="1" applyFill="1" applyBorder="1" applyAlignment="1" applyProtection="1">
      <alignment vertical="center"/>
      <protection/>
    </xf>
    <xf numFmtId="172" fontId="4" fillId="33" borderId="12" xfId="0" applyNumberFormat="1" applyFont="1" applyFill="1" applyBorder="1" applyAlignment="1" applyProtection="1">
      <alignment vertical="center"/>
      <protection/>
    </xf>
    <xf numFmtId="2" fontId="4" fillId="33" borderId="12" xfId="0" applyNumberFormat="1" applyFont="1" applyFill="1" applyBorder="1" applyAlignment="1" applyProtection="1">
      <alignment vertical="center"/>
      <protection/>
    </xf>
    <xf numFmtId="3" fontId="4" fillId="33" borderId="12" xfId="0" applyNumberFormat="1" applyFont="1" applyFill="1" applyBorder="1" applyAlignment="1" applyProtection="1">
      <alignment vertical="center"/>
      <protection/>
    </xf>
    <xf numFmtId="0" fontId="4" fillId="33" borderId="12" xfId="645" applyFont="1" applyFill="1" applyBorder="1" applyAlignment="1" applyProtection="1">
      <alignment horizontal="left" vertical="center"/>
      <protection/>
    </xf>
    <xf numFmtId="37" fontId="5" fillId="34" borderId="12" xfId="645" applyNumberFormat="1"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0" xfId="0" applyFont="1" applyAlignment="1">
      <alignment vertical="center"/>
    </xf>
    <xf numFmtId="0" fontId="4" fillId="33" borderId="0" xfId="646" applyFont="1" applyFill="1" applyAlignment="1" applyProtection="1">
      <alignment horizontal="centerContinuous" vertical="center"/>
      <protection/>
    </xf>
    <xf numFmtId="0" fontId="4" fillId="33" borderId="0" xfId="646" applyFont="1" applyFill="1" applyAlignment="1" applyProtection="1">
      <alignment vertical="center"/>
      <protection/>
    </xf>
    <xf numFmtId="0" fontId="4" fillId="0" borderId="0" xfId="646" applyFont="1" applyAlignment="1">
      <alignment vertical="center"/>
      <protection/>
    </xf>
    <xf numFmtId="0" fontId="4" fillId="33" borderId="14" xfId="0" applyFont="1" applyFill="1" applyBorder="1" applyAlignment="1" applyProtection="1">
      <alignment horizontal="fill" vertical="center"/>
      <protection/>
    </xf>
    <xf numFmtId="0" fontId="4" fillId="33" borderId="0" xfId="0" applyFont="1" applyFill="1" applyBorder="1" applyAlignment="1" applyProtection="1">
      <alignment horizontal="fill" vertical="center"/>
      <protection/>
    </xf>
    <xf numFmtId="0" fontId="4" fillId="33" borderId="10" xfId="0" applyFont="1" applyFill="1" applyBorder="1" applyAlignment="1" applyProtection="1">
      <alignment vertical="center"/>
      <protection/>
    </xf>
    <xf numFmtId="0" fontId="4" fillId="33" borderId="20" xfId="646" applyFont="1" applyFill="1" applyBorder="1" applyAlignment="1" applyProtection="1">
      <alignment vertical="center"/>
      <protection/>
    </xf>
    <xf numFmtId="0" fontId="4" fillId="33" borderId="0" xfId="646"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1" xfId="0" applyFont="1" applyFill="1" applyBorder="1" applyAlignment="1" applyProtection="1">
      <alignment horizontal="left" vertical="center"/>
      <protection/>
    </xf>
    <xf numFmtId="0" fontId="7" fillId="33" borderId="11" xfId="0" applyFont="1" applyFill="1" applyBorder="1" applyAlignment="1" applyProtection="1">
      <alignment horizontal="center" vertical="center"/>
      <protection/>
    </xf>
    <xf numFmtId="1" fontId="4" fillId="35" borderId="12" xfId="0" applyNumberFormat="1" applyFont="1" applyFill="1" applyBorder="1" applyAlignment="1" applyProtection="1">
      <alignment vertical="center"/>
      <protection locked="0"/>
    </xf>
    <xf numFmtId="0" fontId="4" fillId="33" borderId="21" xfId="645" applyFont="1" applyFill="1" applyBorder="1" applyAlignment="1" applyProtection="1">
      <alignment vertical="center"/>
      <protection locked="0"/>
    </xf>
    <xf numFmtId="3" fontId="5" fillId="33" borderId="12" xfId="645" applyNumberFormat="1" applyFont="1" applyFill="1" applyBorder="1" applyAlignment="1" applyProtection="1">
      <alignment vertical="center"/>
      <protection/>
    </xf>
    <xf numFmtId="37" fontId="5" fillId="33" borderId="12" xfId="645" applyNumberFormat="1" applyFont="1" applyFill="1" applyBorder="1" applyAlignment="1" applyProtection="1">
      <alignment vertical="center"/>
      <protection/>
    </xf>
    <xf numFmtId="0" fontId="0" fillId="33" borderId="0" xfId="0" applyFill="1" applyAlignment="1" applyProtection="1">
      <alignment vertical="center"/>
      <protection/>
    </xf>
    <xf numFmtId="165" fontId="4" fillId="33" borderId="0" xfId="0" applyNumberFormat="1" applyFont="1" applyFill="1" applyAlignment="1" applyProtection="1">
      <alignment vertical="center"/>
      <protection/>
    </xf>
    <xf numFmtId="0" fontId="5" fillId="33" borderId="0" xfId="0" applyFont="1" applyFill="1" applyAlignment="1" applyProtection="1">
      <alignment vertical="center"/>
      <protection/>
    </xf>
    <xf numFmtId="165" fontId="4" fillId="33" borderId="0" xfId="0" applyNumberFormat="1" applyFont="1" applyFill="1" applyAlignment="1" applyProtection="1" quotePrefix="1">
      <alignment horizontal="right" vertical="center"/>
      <protection/>
    </xf>
    <xf numFmtId="37"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22" xfId="0" applyFont="1" applyFill="1" applyBorder="1" applyAlignment="1" applyProtection="1">
      <alignment horizontal="left" vertical="center"/>
      <protection/>
    </xf>
    <xf numFmtId="3" fontId="4" fillId="35" borderId="23" xfId="0" applyNumberFormat="1" applyFont="1" applyFill="1" applyBorder="1" applyAlignment="1" applyProtection="1">
      <alignment vertical="center"/>
      <protection locked="0"/>
    </xf>
    <xf numFmtId="0" fontId="4" fillId="33" borderId="18" xfId="0" applyFont="1" applyFill="1" applyBorder="1" applyAlignment="1" applyProtection="1">
      <alignment horizontal="left" vertical="center"/>
      <protection/>
    </xf>
    <xf numFmtId="37" fontId="4" fillId="33" borderId="22" xfId="0" applyNumberFormat="1" applyFont="1" applyFill="1" applyBorder="1" applyAlignment="1" applyProtection="1">
      <alignment vertical="center"/>
      <protection/>
    </xf>
    <xf numFmtId="0" fontId="4" fillId="33" borderId="12" xfId="0" applyFont="1" applyFill="1" applyBorder="1" applyAlignment="1" applyProtection="1">
      <alignment horizontal="fill" vertical="center"/>
      <protection/>
    </xf>
    <xf numFmtId="37" fontId="4" fillId="35" borderId="22" xfId="0" applyNumberFormat="1" applyFont="1" applyFill="1" applyBorder="1" applyAlignment="1" applyProtection="1">
      <alignment vertical="center"/>
      <protection locked="0"/>
    </xf>
    <xf numFmtId="0" fontId="4" fillId="35" borderId="22" xfId="0" applyFont="1" applyFill="1" applyBorder="1" applyAlignment="1" applyProtection="1">
      <alignment horizontal="left" vertical="center"/>
      <protection locked="0"/>
    </xf>
    <xf numFmtId="37" fontId="4" fillId="33" borderId="22" xfId="0" applyNumberFormat="1" applyFont="1" applyFill="1" applyBorder="1" applyAlignment="1" applyProtection="1">
      <alignment horizontal="left" vertical="center"/>
      <protection locked="0"/>
    </xf>
    <xf numFmtId="37" fontId="4" fillId="35" borderId="23" xfId="0" applyNumberFormat="1" applyFont="1" applyFill="1" applyBorder="1" applyAlignment="1" applyProtection="1">
      <alignment vertical="center"/>
      <protection locked="0"/>
    </xf>
    <xf numFmtId="3" fontId="18" fillId="36" borderId="23" xfId="0" applyNumberFormat="1" applyFont="1" applyFill="1" applyBorder="1" applyAlignment="1" applyProtection="1">
      <alignment horizontal="center" vertical="center"/>
      <protection/>
    </xf>
    <xf numFmtId="37" fontId="5" fillId="33" borderId="22" xfId="0" applyNumberFormat="1" applyFont="1" applyFill="1" applyBorder="1" applyAlignment="1" applyProtection="1">
      <alignment horizontal="left" vertical="center"/>
      <protection/>
    </xf>
    <xf numFmtId="3" fontId="5" fillId="34" borderId="12" xfId="0" applyNumberFormat="1"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vertical="center"/>
      <protection/>
    </xf>
    <xf numFmtId="3" fontId="4" fillId="34" borderId="23" xfId="0" applyNumberFormat="1" applyFont="1" applyFill="1" applyBorder="1" applyAlignment="1" applyProtection="1">
      <alignment vertical="center"/>
      <protection/>
    </xf>
    <xf numFmtId="0" fontId="18" fillId="0" borderId="0" xfId="0" applyFont="1" applyAlignment="1">
      <alignment vertical="center"/>
    </xf>
    <xf numFmtId="1" fontId="4" fillId="33" borderId="0" xfId="0" applyNumberFormat="1" applyFont="1" applyFill="1" applyBorder="1" applyAlignment="1" applyProtection="1">
      <alignment horizontal="right"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7" fontId="4" fillId="33" borderId="0" xfId="0" applyNumberFormat="1" applyFont="1" applyFill="1" applyAlignment="1" applyProtection="1">
      <alignment horizontal="left" vertical="center"/>
      <protection/>
    </xf>
    <xf numFmtId="37" fontId="4" fillId="33" borderId="0" xfId="0" applyNumberFormat="1" applyFont="1" applyFill="1" applyBorder="1" applyAlignment="1" applyProtection="1">
      <alignment vertical="center"/>
      <protection/>
    </xf>
    <xf numFmtId="37" fontId="4" fillId="33" borderId="22" xfId="0" applyNumberFormat="1" applyFont="1" applyFill="1" applyBorder="1" applyAlignment="1" applyProtection="1">
      <alignment horizontal="left" vertical="center"/>
      <protection/>
    </xf>
    <xf numFmtId="3" fontId="4" fillId="33" borderId="12" xfId="42" applyNumberFormat="1" applyFont="1" applyFill="1" applyBorder="1" applyAlignment="1" applyProtection="1">
      <alignment horizontal="right" vertical="center"/>
      <protection/>
    </xf>
    <xf numFmtId="37" fontId="4" fillId="33" borderId="18"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fill" vertical="center"/>
      <protection/>
    </xf>
    <xf numFmtId="3" fontId="4" fillId="35" borderId="12"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xf>
    <xf numFmtId="0" fontId="4" fillId="33" borderId="22" xfId="0" applyNumberFormat="1" applyFont="1" applyFill="1" applyBorder="1" applyAlignment="1" applyProtection="1">
      <alignment horizontal="left" vertical="center"/>
      <protection/>
    </xf>
    <xf numFmtId="0" fontId="4" fillId="35" borderId="22" xfId="0" applyNumberFormat="1" applyFont="1" applyFill="1" applyBorder="1" applyAlignment="1" applyProtection="1">
      <alignment horizontal="left" vertical="center"/>
      <protection locked="0"/>
    </xf>
    <xf numFmtId="3" fontId="4" fillId="35" borderId="12" xfId="0" applyNumberFormat="1" applyFont="1" applyFill="1" applyBorder="1" applyAlignment="1" applyProtection="1">
      <alignment horizontal="right" vertical="center"/>
      <protection locked="0"/>
    </xf>
    <xf numFmtId="0" fontId="4" fillId="35" borderId="16" xfId="0" applyNumberFormat="1" applyFont="1" applyFill="1" applyBorder="1" applyAlignment="1" applyProtection="1">
      <alignment horizontal="left" vertical="center"/>
      <protection locked="0"/>
    </xf>
    <xf numFmtId="3" fontId="5" fillId="34" borderId="11" xfId="0" applyNumberFormat="1" applyFont="1" applyFill="1" applyBorder="1" applyAlignment="1" applyProtection="1">
      <alignment horizontal="right" vertical="center"/>
      <protection/>
    </xf>
    <xf numFmtId="3" fontId="5" fillId="34" borderId="12" xfId="0" applyNumberFormat="1" applyFont="1" applyFill="1" applyBorder="1" applyAlignment="1" applyProtection="1">
      <alignment horizontal="right" vertical="center"/>
      <protection/>
    </xf>
    <xf numFmtId="0" fontId="4" fillId="35" borderId="22" xfId="0" applyFont="1" applyFill="1" applyBorder="1" applyAlignment="1" applyProtection="1">
      <alignment vertical="center"/>
      <protection locked="0"/>
    </xf>
    <xf numFmtId="0" fontId="18" fillId="0" borderId="0" xfId="0" applyFont="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1" fontId="4" fillId="33" borderId="10" xfId="0" applyNumberFormat="1" applyFont="1" applyFill="1" applyBorder="1" applyAlignment="1" applyProtection="1">
      <alignment horizontal="center" vertical="center"/>
      <protection/>
    </xf>
    <xf numFmtId="3" fontId="4" fillId="33" borderId="0" xfId="0" applyNumberFormat="1" applyFont="1" applyFill="1" applyAlignment="1" applyProtection="1">
      <alignment vertical="center"/>
      <protection/>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3" xfId="0" applyFont="1" applyFill="1" applyBorder="1" applyAlignment="1">
      <alignment vertical="center"/>
    </xf>
    <xf numFmtId="0" fontId="4" fillId="33" borderId="14" xfId="0" applyFont="1" applyFill="1" applyBorder="1" applyAlignment="1">
      <alignment vertical="center"/>
    </xf>
    <xf numFmtId="0" fontId="22" fillId="33" borderId="10" xfId="0" applyFont="1" applyFill="1" applyBorder="1" applyAlignment="1">
      <alignment vertical="center"/>
    </xf>
    <xf numFmtId="0" fontId="22" fillId="33" borderId="23" xfId="0" applyFont="1" applyFill="1" applyBorder="1" applyAlignment="1">
      <alignment horizontal="center" vertical="center"/>
    </xf>
    <xf numFmtId="0" fontId="22" fillId="33" borderId="17" xfId="0" applyFont="1" applyFill="1" applyBorder="1" applyAlignment="1">
      <alignment vertical="center"/>
    </xf>
    <xf numFmtId="0" fontId="22" fillId="33" borderId="1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2" xfId="0" applyFont="1" applyFill="1" applyBorder="1" applyAlignment="1">
      <alignment horizontal="center" vertical="center"/>
    </xf>
    <xf numFmtId="0" fontId="22" fillId="33" borderId="18" xfId="0" applyFont="1" applyFill="1" applyBorder="1" applyAlignment="1">
      <alignment vertical="center"/>
    </xf>
    <xf numFmtId="3" fontId="22" fillId="35" borderId="12" xfId="0" applyNumberFormat="1" applyFont="1" applyFill="1" applyBorder="1" applyAlignment="1" applyProtection="1">
      <alignment horizontal="center" vertical="center"/>
      <protection locked="0"/>
    </xf>
    <xf numFmtId="0" fontId="22" fillId="33" borderId="14" xfId="0" applyFont="1" applyFill="1" applyBorder="1" applyAlignment="1">
      <alignment vertical="center"/>
    </xf>
    <xf numFmtId="3" fontId="22" fillId="34" borderId="12"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5" borderId="12" xfId="0" applyFont="1" applyFill="1" applyBorder="1" applyAlignment="1" applyProtection="1">
      <alignment vertical="center"/>
      <protection locked="0"/>
    </xf>
    <xf numFmtId="0" fontId="22" fillId="35" borderId="17" xfId="0" applyFont="1" applyFill="1" applyBorder="1" applyAlignment="1" applyProtection="1">
      <alignment vertical="center"/>
      <protection locked="0"/>
    </xf>
    <xf numFmtId="3" fontId="22" fillId="35" borderId="17" xfId="0" applyNumberFormat="1" applyFont="1" applyFill="1" applyBorder="1" applyAlignment="1" applyProtection="1">
      <alignment horizontal="center" vertical="center"/>
      <protection locked="0"/>
    </xf>
    <xf numFmtId="0" fontId="22" fillId="35" borderId="0" xfId="0" applyFont="1" applyFill="1" applyAlignment="1" applyProtection="1">
      <alignment vertical="center"/>
      <protection locked="0"/>
    </xf>
    <xf numFmtId="3" fontId="22" fillId="35" borderId="19" xfId="0" applyNumberFormat="1" applyFont="1" applyFill="1" applyBorder="1" applyAlignment="1" applyProtection="1">
      <alignment horizontal="center" vertical="center"/>
      <protection locked="0"/>
    </xf>
    <xf numFmtId="3" fontId="22" fillId="35" borderId="23" xfId="0" applyNumberFormat="1" applyFont="1" applyFill="1" applyBorder="1" applyAlignment="1" applyProtection="1">
      <alignment horizontal="center" vertical="center"/>
      <protection locked="0"/>
    </xf>
    <xf numFmtId="0" fontId="22" fillId="35" borderId="23" xfId="0" applyFont="1" applyFill="1" applyBorder="1" applyAlignment="1" applyProtection="1">
      <alignment vertical="center"/>
      <protection locked="0"/>
    </xf>
    <xf numFmtId="0" fontId="22" fillId="35" borderId="11" xfId="0" applyFont="1" applyFill="1" applyBorder="1" applyAlignment="1" applyProtection="1">
      <alignment vertical="center"/>
      <protection locked="0"/>
    </xf>
    <xf numFmtId="3" fontId="22" fillId="35" borderId="24" xfId="0" applyNumberFormat="1" applyFont="1" applyFill="1" applyBorder="1" applyAlignment="1" applyProtection="1">
      <alignment horizontal="center" vertical="center"/>
      <protection locked="0"/>
    </xf>
    <xf numFmtId="0" fontId="22" fillId="35" borderId="24" xfId="0" applyFont="1" applyFill="1" applyBorder="1" applyAlignment="1" applyProtection="1">
      <alignment vertical="center"/>
      <protection locked="0"/>
    </xf>
    <xf numFmtId="3" fontId="22" fillId="34"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0" fontId="4" fillId="33" borderId="0" xfId="0" applyFont="1" applyFill="1" applyAlignment="1">
      <alignment horizontal="right" vertical="center"/>
    </xf>
    <xf numFmtId="3" fontId="4" fillId="0" borderId="0" xfId="0" applyNumberFormat="1"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37" fontId="5" fillId="33" borderId="0" xfId="0" applyNumberFormat="1" applyFont="1" applyFill="1" applyAlignment="1" applyProtection="1">
      <alignment horizontal="centerContinuous" vertical="center"/>
      <protection/>
    </xf>
    <xf numFmtId="0" fontId="4" fillId="33" borderId="22" xfId="0" applyFont="1" applyFill="1" applyBorder="1" applyAlignment="1" applyProtection="1">
      <alignment horizontal="centerContinuous" vertical="center"/>
      <protection/>
    </xf>
    <xf numFmtId="0" fontId="4" fillId="33" borderId="23"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 vertical="center"/>
      <protection locked="0"/>
    </xf>
    <xf numFmtId="0" fontId="4" fillId="33" borderId="14" xfId="0" applyFont="1" applyFill="1" applyBorder="1" applyAlignment="1" applyProtection="1">
      <alignment horizontal="left" vertical="center"/>
      <protection/>
    </xf>
    <xf numFmtId="0" fontId="4" fillId="33" borderId="11" xfId="0" applyFont="1" applyFill="1" applyBorder="1" applyAlignment="1" applyProtection="1">
      <alignment horizontal="center" vertical="center"/>
      <protection locked="0"/>
    </xf>
    <xf numFmtId="0" fontId="4" fillId="33" borderId="16"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164" fontId="4" fillId="33" borderId="15" xfId="0" applyNumberFormat="1"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37" fontId="4" fillId="33" borderId="0" xfId="0" applyNumberFormat="1" applyFont="1" applyFill="1" applyAlignment="1" applyProtection="1">
      <alignment vertical="center"/>
      <protection locked="0"/>
    </xf>
    <xf numFmtId="0" fontId="4" fillId="33" borderId="17"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37" fontId="4" fillId="33" borderId="12" xfId="0" applyNumberFormat="1" applyFont="1" applyFill="1" applyBorder="1" applyAlignment="1" applyProtection="1">
      <alignment horizontal="left" vertical="center"/>
      <protection/>
    </xf>
    <xf numFmtId="3" fontId="4" fillId="35" borderId="12" xfId="0" applyNumberFormat="1" applyFont="1" applyFill="1" applyBorder="1" applyAlignment="1" applyProtection="1">
      <alignment horizontal="center" vertical="center"/>
      <protection locked="0"/>
    </xf>
    <xf numFmtId="183"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center" vertical="center"/>
      <protection/>
    </xf>
    <xf numFmtId="183" fontId="4" fillId="33" borderId="13"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183" fontId="4" fillId="33" borderId="14"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3" fontId="4" fillId="33" borderId="14"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horizontal="left" vertical="center"/>
      <protection/>
    </xf>
    <xf numFmtId="0" fontId="4" fillId="33" borderId="24"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fill" vertical="center"/>
      <protection/>
    </xf>
    <xf numFmtId="0" fontId="4" fillId="33" borderId="19" xfId="0" applyFont="1" applyFill="1" applyBorder="1" applyAlignment="1" applyProtection="1">
      <alignment horizontal="fill" vertical="center" wrapText="1"/>
      <protection/>
    </xf>
    <xf numFmtId="0" fontId="4" fillId="33" borderId="19" xfId="0" applyFont="1" applyFill="1" applyBorder="1" applyAlignment="1" applyProtection="1">
      <alignment horizontal="fill" vertical="center"/>
      <protection/>
    </xf>
    <xf numFmtId="0" fontId="4" fillId="33" borderId="22"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14" fillId="33" borderId="22" xfId="0" applyFont="1" applyFill="1" applyBorder="1" applyAlignment="1" applyProtection="1">
      <alignment horizontal="left" vertical="center"/>
      <protection/>
    </xf>
    <xf numFmtId="0" fontId="14" fillId="33" borderId="12" xfId="0" applyFont="1" applyFill="1" applyBorder="1" applyAlignment="1" applyProtection="1">
      <alignment horizontal="center"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4" fillId="33" borderId="23" xfId="0" applyFont="1" applyFill="1" applyBorder="1" applyAlignment="1" applyProtection="1">
      <alignment horizontal="center" vertical="center"/>
      <protection/>
    </xf>
    <xf numFmtId="0" fontId="4" fillId="33" borderId="21" xfId="0" applyFont="1" applyFill="1" applyBorder="1" applyAlignment="1" applyProtection="1">
      <alignment vertical="center"/>
      <protection/>
    </xf>
    <xf numFmtId="0" fontId="5" fillId="33" borderId="22" xfId="0" applyFont="1" applyFill="1" applyBorder="1" applyAlignment="1" applyProtection="1">
      <alignment horizontal="left" vertical="center"/>
      <protection/>
    </xf>
    <xf numFmtId="175" fontId="4" fillId="34" borderId="13" xfId="0" applyNumberFormat="1" applyFont="1" applyFill="1" applyBorder="1" applyAlignment="1" applyProtection="1">
      <alignment vertical="center"/>
      <protection/>
    </xf>
    <xf numFmtId="0" fontId="8" fillId="33" borderId="0" xfId="0" applyFont="1" applyFill="1" applyAlignment="1" applyProtection="1">
      <alignment horizontal="center" vertical="center"/>
      <protection/>
    </xf>
    <xf numFmtId="165" fontId="4" fillId="33" borderId="0" xfId="0" applyNumberFormat="1" applyFont="1" applyFill="1" applyBorder="1" applyAlignment="1" applyProtection="1">
      <alignment vertical="center"/>
      <protection/>
    </xf>
    <xf numFmtId="171" fontId="4" fillId="33" borderId="0" xfId="42" applyNumberFormat="1" applyFont="1" applyFill="1" applyBorder="1" applyAlignment="1" applyProtection="1">
      <alignment vertical="center"/>
      <protection locked="0"/>
    </xf>
    <xf numFmtId="0" fontId="0" fillId="33" borderId="0" xfId="0" applyFill="1" applyAlignment="1">
      <alignment horizontal="center" vertical="center" wrapText="1"/>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4" borderId="25" xfId="0" applyNumberFormat="1" applyFont="1" applyFill="1" applyBorder="1" applyAlignment="1" applyProtection="1">
      <alignment vertical="center"/>
      <protection/>
    </xf>
    <xf numFmtId="3" fontId="4" fillId="33" borderId="25"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169" fontId="4" fillId="33" borderId="14"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 fontId="4" fillId="33" borderId="26" xfId="0" applyNumberFormat="1" applyFont="1" applyFill="1" applyBorder="1" applyAlignment="1" applyProtection="1">
      <alignment vertical="center"/>
      <protection/>
    </xf>
    <xf numFmtId="3" fontId="4" fillId="33" borderId="23" xfId="0" applyNumberFormat="1" applyFont="1" applyFill="1" applyBorder="1" applyAlignment="1" applyProtection="1">
      <alignment vertical="center"/>
      <protection/>
    </xf>
    <xf numFmtId="3" fontId="4" fillId="33" borderId="12" xfId="204" applyNumberFormat="1" applyFont="1" applyFill="1" applyBorder="1" applyAlignment="1" applyProtection="1">
      <alignment horizontal="center" vertical="center"/>
      <protection/>
    </xf>
    <xf numFmtId="3" fontId="4" fillId="35" borderId="12" xfId="204" applyNumberFormat="1" applyFont="1" applyFill="1" applyBorder="1" applyAlignment="1" applyProtection="1">
      <alignment horizontal="center" vertical="center"/>
      <protection locked="0"/>
    </xf>
    <xf numFmtId="183" fontId="4" fillId="33" borderId="12" xfId="204" applyNumberFormat="1" applyFont="1" applyFill="1" applyBorder="1" applyAlignment="1" applyProtection="1">
      <alignment horizontal="center" vertical="center"/>
      <protection/>
    </xf>
    <xf numFmtId="3" fontId="4" fillId="33" borderId="0" xfId="204" applyNumberFormat="1" applyFont="1" applyFill="1" applyBorder="1" applyAlignment="1" applyProtection="1">
      <alignment horizontal="center" vertical="center"/>
      <protection/>
    </xf>
    <xf numFmtId="3" fontId="4" fillId="38" borderId="12" xfId="204" applyNumberFormat="1" applyFont="1" applyFill="1" applyBorder="1" applyAlignment="1" applyProtection="1">
      <alignment horizontal="center" vertical="center"/>
      <protection locked="0"/>
    </xf>
    <xf numFmtId="37" fontId="4" fillId="33" borderId="0" xfId="204" applyNumberFormat="1" applyFont="1" applyFill="1" applyAlignment="1" applyProtection="1">
      <alignment vertical="center"/>
      <protection locked="0"/>
    </xf>
    <xf numFmtId="0" fontId="5" fillId="33" borderId="0" xfId="204" applyFont="1" applyFill="1" applyAlignment="1" applyProtection="1">
      <alignment horizontal="center" vertical="center"/>
      <protection/>
    </xf>
    <xf numFmtId="0" fontId="4" fillId="33" borderId="0" xfId="204" applyFont="1" applyFill="1" applyAlignment="1" applyProtection="1">
      <alignment vertical="center"/>
      <protection/>
    </xf>
    <xf numFmtId="0" fontId="4" fillId="33" borderId="0" xfId="204" applyFont="1" applyFill="1" applyAlignment="1" applyProtection="1">
      <alignment vertical="center"/>
      <protection locked="0"/>
    </xf>
    <xf numFmtId="37" fontId="4" fillId="33" borderId="0" xfId="204" applyNumberFormat="1" applyFont="1" applyFill="1" applyAlignment="1" applyProtection="1">
      <alignment vertical="center"/>
      <protection/>
    </xf>
    <xf numFmtId="0" fontId="4" fillId="33" borderId="22" xfId="204" applyFont="1" applyFill="1" applyBorder="1" applyAlignment="1" applyProtection="1">
      <alignment horizontal="left" vertical="center"/>
      <protection/>
    </xf>
    <xf numFmtId="0" fontId="5" fillId="33" borderId="22" xfId="204" applyFont="1" applyFill="1" applyBorder="1" applyAlignment="1" applyProtection="1">
      <alignment horizontal="left" vertical="center"/>
      <protection/>
    </xf>
    <xf numFmtId="0" fontId="4" fillId="33" borderId="25" xfId="204" applyFont="1" applyFill="1" applyBorder="1" applyAlignment="1" applyProtection="1">
      <alignment horizontal="left" vertical="center"/>
      <protection/>
    </xf>
    <xf numFmtId="0" fontId="4" fillId="33" borderId="23" xfId="204" applyFont="1" applyFill="1" applyBorder="1" applyAlignment="1" applyProtection="1">
      <alignment horizontal="left" vertical="center"/>
      <protection/>
    </xf>
    <xf numFmtId="0" fontId="4" fillId="33" borderId="12" xfId="204" applyFont="1" applyFill="1" applyBorder="1" applyAlignment="1" applyProtection="1">
      <alignment vertical="center"/>
      <protection/>
    </xf>
    <xf numFmtId="0" fontId="4" fillId="33" borderId="20" xfId="204" applyFont="1" applyFill="1" applyBorder="1" applyAlignment="1" applyProtection="1">
      <alignment vertical="center"/>
      <protection/>
    </xf>
    <xf numFmtId="0" fontId="4" fillId="33" borderId="14" xfId="204" applyFont="1" applyFill="1" applyBorder="1" applyAlignment="1" applyProtection="1">
      <alignment horizontal="center" vertical="center" wrapText="1"/>
      <protection/>
    </xf>
    <xf numFmtId="37" fontId="4" fillId="33" borderId="22" xfId="204" applyNumberFormat="1" applyFont="1" applyFill="1" applyBorder="1" applyAlignment="1" applyProtection="1">
      <alignment horizontal="left" vertical="center"/>
      <protection/>
    </xf>
    <xf numFmtId="183" fontId="4" fillId="33" borderId="25" xfId="204" applyNumberFormat="1" applyFont="1" applyFill="1" applyBorder="1" applyAlignment="1" applyProtection="1">
      <alignment horizontal="center" vertical="center"/>
      <protection/>
    </xf>
    <xf numFmtId="183" fontId="4" fillId="33" borderId="23" xfId="204" applyNumberFormat="1" applyFont="1" applyFill="1" applyBorder="1" applyAlignment="1" applyProtection="1">
      <alignment horizontal="center" vertical="center"/>
      <protection/>
    </xf>
    <xf numFmtId="37" fontId="4" fillId="33" borderId="0" xfId="204" applyNumberFormat="1" applyFont="1" applyFill="1" applyBorder="1" applyAlignment="1" applyProtection="1">
      <alignment horizontal="left" vertical="center"/>
      <protection/>
    </xf>
    <xf numFmtId="183" fontId="4" fillId="33" borderId="0" xfId="204" applyNumberFormat="1" applyFont="1" applyFill="1" applyBorder="1" applyAlignment="1" applyProtection="1">
      <alignment horizontal="center" vertical="center"/>
      <protection/>
    </xf>
    <xf numFmtId="183" fontId="4" fillId="33" borderId="14" xfId="204" applyNumberFormat="1" applyFont="1" applyFill="1" applyBorder="1" applyAlignment="1" applyProtection="1">
      <alignment horizontal="center" vertical="center"/>
      <protection/>
    </xf>
    <xf numFmtId="37" fontId="4" fillId="33" borderId="22" xfId="204" applyNumberFormat="1" applyFont="1" applyFill="1" applyBorder="1" applyAlignment="1" applyProtection="1">
      <alignment vertical="center"/>
      <protection/>
    </xf>
    <xf numFmtId="0" fontId="4" fillId="33" borderId="0" xfId="204" applyFont="1" applyFill="1" applyBorder="1" applyAlignment="1" applyProtection="1">
      <alignment vertical="center"/>
      <protection/>
    </xf>
    <xf numFmtId="0" fontId="4" fillId="33" borderId="0" xfId="204" applyFont="1" applyFill="1" applyAlignment="1" applyProtection="1">
      <alignment horizontal="right" vertical="center"/>
      <protection/>
    </xf>
    <xf numFmtId="0" fontId="4" fillId="33" borderId="0" xfId="204" applyFont="1" applyFill="1" applyAlignment="1">
      <alignment horizontal="right" vertical="center"/>
      <protection/>
    </xf>
    <xf numFmtId="3" fontId="4" fillId="33" borderId="0" xfId="204" applyNumberFormat="1" applyFont="1" applyFill="1" applyBorder="1" applyAlignment="1">
      <alignment horizontal="center" vertical="center"/>
      <protection/>
    </xf>
    <xf numFmtId="0" fontId="0" fillId="33" borderId="0" xfId="204" applyFill="1" applyAlignment="1">
      <alignment vertical="center"/>
      <protection/>
    </xf>
    <xf numFmtId="0" fontId="0" fillId="33" borderId="0" xfId="204" applyFill="1" applyBorder="1" applyAlignment="1">
      <alignment horizontal="center" vertical="center"/>
      <protection/>
    </xf>
    <xf numFmtId="0" fontId="4" fillId="33" borderId="0" xfId="204" applyFont="1" applyFill="1" applyBorder="1" applyAlignment="1">
      <alignment horizontal="center" vertical="center"/>
      <protection/>
    </xf>
    <xf numFmtId="37" fontId="4" fillId="39" borderId="12" xfId="42" applyNumberFormat="1" applyFont="1" applyFill="1" applyBorder="1" applyAlignment="1" applyProtection="1">
      <alignment horizontal="center" vertical="center"/>
      <protection locked="0"/>
    </xf>
    <xf numFmtId="3" fontId="4" fillId="39" borderId="12" xfId="204" applyNumberFormat="1" applyFont="1" applyFill="1" applyBorder="1" applyAlignment="1" applyProtection="1">
      <alignment horizontal="center" vertical="center"/>
      <protection/>
    </xf>
    <xf numFmtId="37" fontId="4" fillId="33" borderId="14" xfId="0" applyNumberFormat="1" applyFont="1" applyFill="1" applyBorder="1" applyAlignment="1" applyProtection="1">
      <alignment horizontal="left" vertical="center"/>
      <protection/>
    </xf>
    <xf numFmtId="37" fontId="4" fillId="33" borderId="25" xfId="0" applyNumberFormat="1" applyFont="1" applyFill="1" applyBorder="1" applyAlignment="1" applyProtection="1">
      <alignment horizontal="left" vertical="center"/>
      <protection/>
    </xf>
    <xf numFmtId="37" fontId="4" fillId="33" borderId="0"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vertical="center"/>
      <protection locked="0"/>
    </xf>
    <xf numFmtId="0" fontId="14" fillId="33" borderId="0" xfId="0" applyFont="1" applyFill="1" applyBorder="1" applyAlignment="1" applyProtection="1">
      <alignment horizontal="center" vertical="center"/>
      <protection/>
    </xf>
    <xf numFmtId="0" fontId="0" fillId="33" borderId="19" xfId="0" applyFill="1" applyBorder="1" applyAlignment="1" applyProtection="1">
      <alignment vertical="center"/>
      <protection/>
    </xf>
    <xf numFmtId="182" fontId="4" fillId="34" borderId="12" xfId="0" applyNumberFormat="1" applyFont="1" applyFill="1" applyBorder="1" applyAlignment="1" applyProtection="1">
      <alignment vertical="center"/>
      <protection/>
    </xf>
    <xf numFmtId="0" fontId="0" fillId="33" borderId="14" xfId="0" applyFill="1" applyBorder="1" applyAlignment="1" applyProtection="1">
      <alignment vertical="center"/>
      <protection/>
    </xf>
    <xf numFmtId="3" fontId="4" fillId="33" borderId="19"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xf>
    <xf numFmtId="37" fontId="4" fillId="33" borderId="0" xfId="0" applyNumberFormat="1" applyFont="1" applyFill="1" applyBorder="1" applyAlignment="1" applyProtection="1">
      <alignment horizontal="left" vertical="center"/>
      <protection/>
    </xf>
    <xf numFmtId="37" fontId="4" fillId="37" borderId="0" xfId="0" applyNumberFormat="1" applyFont="1" applyFill="1" applyBorder="1" applyAlignment="1" applyProtection="1">
      <alignment horizontal="left" vertical="center"/>
      <protection/>
    </xf>
    <xf numFmtId="0" fontId="4" fillId="37" borderId="0" xfId="0" applyFont="1" applyFill="1" applyBorder="1" applyAlignment="1" applyProtection="1">
      <alignment vertical="center"/>
      <protection/>
    </xf>
    <xf numFmtId="181" fontId="4" fillId="37" borderId="0" xfId="0" applyNumberFormat="1" applyFont="1" applyFill="1" applyBorder="1" applyAlignment="1" applyProtection="1">
      <alignment vertical="center"/>
      <protection locked="0"/>
    </xf>
    <xf numFmtId="0" fontId="4" fillId="40" borderId="10" xfId="0" applyFont="1" applyFill="1" applyBorder="1" applyAlignment="1">
      <alignment horizontal="center" vertical="center"/>
    </xf>
    <xf numFmtId="0" fontId="4" fillId="40" borderId="11" xfId="0" applyFont="1" applyFill="1" applyBorder="1" applyAlignment="1">
      <alignment horizontal="center" vertical="center"/>
    </xf>
    <xf numFmtId="0" fontId="18" fillId="33" borderId="0" xfId="0" applyFont="1" applyFill="1" applyAlignment="1">
      <alignment vertical="center"/>
    </xf>
    <xf numFmtId="0" fontId="19" fillId="33" borderId="0" xfId="0" applyFont="1" applyFill="1" applyAlignment="1">
      <alignment vertical="center"/>
    </xf>
    <xf numFmtId="37" fontId="4" fillId="33" borderId="12" xfId="0" applyNumberFormat="1" applyFont="1" applyFill="1" applyBorder="1" applyAlignment="1">
      <alignment vertical="center"/>
    </xf>
    <xf numFmtId="0" fontId="5" fillId="33" borderId="0" xfId="0" applyFont="1" applyFill="1" applyAlignment="1" applyProtection="1">
      <alignment horizontal="left" vertical="center"/>
      <protection/>
    </xf>
    <xf numFmtId="0" fontId="5" fillId="35" borderId="12" xfId="0" applyFont="1" applyFill="1" applyBorder="1" applyAlignment="1" applyProtection="1">
      <alignment horizontal="center" vertical="center"/>
      <protection locked="0"/>
    </xf>
    <xf numFmtId="0" fontId="6" fillId="41" borderId="10" xfId="0" applyFont="1" applyFill="1" applyBorder="1" applyAlignment="1" applyProtection="1">
      <alignment horizontal="center" vertical="center"/>
      <protection/>
    </xf>
    <xf numFmtId="0" fontId="4" fillId="41" borderId="11" xfId="0" applyFont="1" applyFill="1" applyBorder="1" applyAlignment="1" applyProtection="1">
      <alignment horizontal="center" vertical="center"/>
      <protection/>
    </xf>
    <xf numFmtId="164" fontId="4" fillId="33" borderId="0" xfId="0" applyNumberFormat="1" applyFont="1" applyFill="1" applyAlignment="1" applyProtection="1">
      <alignment vertical="center"/>
      <protection/>
    </xf>
    <xf numFmtId="164" fontId="4" fillId="35" borderId="12" xfId="0" applyNumberFormat="1" applyFont="1" applyFill="1" applyBorder="1" applyAlignment="1" applyProtection="1">
      <alignment vertical="center"/>
      <protection locked="0"/>
    </xf>
    <xf numFmtId="164" fontId="4" fillId="34" borderId="13" xfId="0" applyNumberFormat="1"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4" fillId="33" borderId="19" xfId="0" applyFont="1" applyFill="1" applyBorder="1" applyAlignment="1" applyProtection="1">
      <alignment vertical="center"/>
      <protection locked="0"/>
    </xf>
    <xf numFmtId="0" fontId="4" fillId="41" borderId="25" xfId="0" applyFont="1" applyFill="1" applyBorder="1" applyAlignment="1" applyProtection="1">
      <alignment vertical="center"/>
      <protection/>
    </xf>
    <xf numFmtId="0" fontId="4" fillId="33" borderId="23" xfId="0" applyFont="1" applyFill="1" applyBorder="1" applyAlignment="1" applyProtection="1">
      <alignment vertical="center"/>
      <protection locked="0"/>
    </xf>
    <xf numFmtId="0" fontId="4" fillId="33" borderId="25" xfId="0" applyFont="1" applyFill="1" applyBorder="1" applyAlignment="1" applyProtection="1">
      <alignment vertical="center"/>
      <protection locked="0"/>
    </xf>
    <xf numFmtId="0" fontId="6"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vertical="center" wrapText="1"/>
      <protection/>
    </xf>
    <xf numFmtId="0" fontId="4" fillId="40"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35" borderId="0" xfId="0" applyFont="1" applyFill="1" applyAlignment="1" applyProtection="1">
      <alignment vertical="center"/>
      <protection/>
    </xf>
    <xf numFmtId="0" fontId="4" fillId="0" borderId="0" xfId="0" applyFont="1" applyFill="1" applyAlignment="1">
      <alignment vertical="center"/>
    </xf>
    <xf numFmtId="3" fontId="23" fillId="36" borderId="0" xfId="0" applyNumberFormat="1" applyFont="1" applyFill="1" applyAlignment="1">
      <alignment horizontal="center" vertical="center"/>
    </xf>
    <xf numFmtId="0" fontId="4" fillId="0" borderId="0" xfId="570" applyFont="1" applyAlignment="1">
      <alignment vertical="center" wrapText="1"/>
      <protection/>
    </xf>
    <xf numFmtId="0" fontId="4" fillId="0" borderId="0" xfId="400" applyFont="1" applyAlignment="1">
      <alignment vertical="center" wrapText="1"/>
      <protection/>
    </xf>
    <xf numFmtId="0" fontId="4" fillId="0" borderId="0" xfId="520" applyNumberFormat="1" applyFont="1" applyAlignment="1">
      <alignment vertical="center" wrapText="1"/>
      <protection/>
    </xf>
    <xf numFmtId="0" fontId="4" fillId="0" borderId="0" xfId="379" applyFont="1" applyAlignment="1">
      <alignment vertical="center" wrapText="1"/>
      <protection/>
    </xf>
    <xf numFmtId="0" fontId="4" fillId="0" borderId="0" xfId="592" applyFont="1" applyAlignment="1">
      <alignment vertical="center" wrapText="1"/>
      <protection/>
    </xf>
    <xf numFmtId="0" fontId="4" fillId="0" borderId="0" xfId="90" applyFont="1" applyAlignment="1">
      <alignment vertical="center"/>
      <protection/>
    </xf>
    <xf numFmtId="3" fontId="23" fillId="39" borderId="0" xfId="0" applyNumberFormat="1" applyFont="1" applyFill="1" applyAlignment="1">
      <alignment horizontal="center" vertical="center"/>
    </xf>
    <xf numFmtId="0" fontId="4" fillId="42" borderId="0" xfId="645" applyFont="1" applyFill="1" applyAlignment="1" applyProtection="1">
      <alignment vertical="center"/>
      <protection locked="0"/>
    </xf>
    <xf numFmtId="0" fontId="4" fillId="0" borderId="0" xfId="112" applyFont="1" applyAlignment="1">
      <alignment vertical="center"/>
      <protection/>
    </xf>
    <xf numFmtId="0" fontId="10" fillId="0" borderId="0" xfId="603" applyFont="1">
      <alignment/>
      <protection/>
    </xf>
    <xf numFmtId="0" fontId="10" fillId="0" borderId="0" xfId="603" applyNumberFormat="1" applyFont="1" applyAlignment="1">
      <alignment horizontal="left" vertical="center"/>
      <protection/>
    </xf>
    <xf numFmtId="0" fontId="4" fillId="0" borderId="0" xfId="603" applyFont="1" applyAlignment="1">
      <alignment horizontal="left" vertical="center"/>
      <protection/>
    </xf>
    <xf numFmtId="184" fontId="22" fillId="0" borderId="0" xfId="603" applyNumberFormat="1" applyFont="1" applyAlignment="1">
      <alignment horizontal="left" vertical="center"/>
      <protection/>
    </xf>
    <xf numFmtId="49" fontId="4" fillId="0" borderId="0" xfId="603" applyNumberFormat="1" applyFont="1" applyAlignment="1">
      <alignment horizontal="left" vertical="center"/>
      <protection/>
    </xf>
    <xf numFmtId="0" fontId="22" fillId="0" borderId="0" xfId="603" applyFont="1" applyAlignment="1">
      <alignment horizontal="left" vertical="center"/>
      <protection/>
    </xf>
    <xf numFmtId="185" fontId="22" fillId="0" borderId="0" xfId="603" applyNumberFormat="1" applyFont="1" applyAlignment="1">
      <alignment horizontal="left" vertical="center"/>
      <protection/>
    </xf>
    <xf numFmtId="0" fontId="4" fillId="33" borderId="0" xfId="183" applyFont="1" applyFill="1" applyAlignment="1" applyProtection="1">
      <alignment horizontal="centerContinuous" vertical="center"/>
      <protection/>
    </xf>
    <xf numFmtId="37" fontId="4" fillId="33" borderId="0" xfId="183" applyNumberFormat="1" applyFont="1" applyFill="1" applyAlignment="1" applyProtection="1">
      <alignment horizontal="centerContinuous" vertical="center"/>
      <protection/>
    </xf>
    <xf numFmtId="37" fontId="4" fillId="43" borderId="0" xfId="183" applyNumberFormat="1" applyFont="1" applyFill="1" applyAlignment="1" applyProtection="1">
      <alignment horizontal="centerContinuous" vertical="center"/>
      <protection/>
    </xf>
    <xf numFmtId="0" fontId="4" fillId="43" borderId="0" xfId="183" applyFont="1" applyFill="1" applyAlignment="1" applyProtection="1">
      <alignment horizontal="centerContinuous" vertical="center"/>
      <protection/>
    </xf>
    <xf numFmtId="0" fontId="4" fillId="0" borderId="0" xfId="0" applyNumberFormat="1" applyFont="1" applyAlignment="1">
      <alignment vertical="center" wrapText="1"/>
    </xf>
    <xf numFmtId="0" fontId="0" fillId="0" borderId="0" xfId="0" applyAlignment="1">
      <alignment/>
    </xf>
    <xf numFmtId="0" fontId="6" fillId="0" borderId="0" xfId="172" applyFont="1" applyAlignment="1">
      <alignment vertical="center"/>
      <protection/>
    </xf>
    <xf numFmtId="0" fontId="4" fillId="0" borderId="0" xfId="17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0" fillId="0" borderId="0" xfId="289" applyFont="1">
      <alignment/>
      <protection/>
    </xf>
    <xf numFmtId="0" fontId="0" fillId="0" borderId="0" xfId="289" applyFont="1" applyFill="1">
      <alignment/>
      <protection/>
    </xf>
    <xf numFmtId="3" fontId="4" fillId="44" borderId="14" xfId="0" applyNumberFormat="1" applyFont="1" applyFill="1" applyBorder="1" applyAlignment="1" applyProtection="1">
      <alignment vertical="center"/>
      <protection/>
    </xf>
    <xf numFmtId="0" fontId="4" fillId="44" borderId="0" xfId="0" applyFont="1" applyFill="1" applyAlignment="1" applyProtection="1">
      <alignment vertical="center" wrapText="1"/>
      <protection/>
    </xf>
    <xf numFmtId="0" fontId="4" fillId="43" borderId="0" xfId="0" applyFont="1" applyFill="1" applyAlignment="1" applyProtection="1">
      <alignment vertical="center"/>
      <protection locked="0"/>
    </xf>
    <xf numFmtId="0" fontId="4" fillId="43" borderId="0" xfId="204" applyFont="1" applyFill="1" applyAlignment="1" applyProtection="1">
      <alignment vertical="center"/>
      <protection locked="0"/>
    </xf>
    <xf numFmtId="3" fontId="4" fillId="45" borderId="12" xfId="204" applyNumberFormat="1" applyFont="1" applyFill="1" applyBorder="1" applyAlignment="1" applyProtection="1">
      <alignment horizontal="center" vertical="center"/>
      <protection/>
    </xf>
    <xf numFmtId="3" fontId="4" fillId="46" borderId="12" xfId="204" applyNumberFormat="1" applyFont="1" applyFill="1" applyBorder="1" applyAlignment="1" applyProtection="1">
      <alignment horizontal="center" vertical="center"/>
      <protection/>
    </xf>
    <xf numFmtId="0" fontId="4" fillId="33" borderId="0" xfId="0" applyFont="1" applyFill="1" applyAlignment="1">
      <alignment/>
    </xf>
    <xf numFmtId="0" fontId="6" fillId="0" borderId="0" xfId="171" applyFont="1" applyAlignment="1">
      <alignment vertical="center"/>
      <protection/>
    </xf>
    <xf numFmtId="0" fontId="85"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1" fontId="4" fillId="33" borderId="16" xfId="0" applyNumberFormat="1" applyFont="1" applyFill="1" applyBorder="1" applyAlignment="1" applyProtection="1">
      <alignment horizontal="center" vertical="center"/>
      <protection/>
    </xf>
    <xf numFmtId="37" fontId="4" fillId="33" borderId="16"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xf numFmtId="3" fontId="4" fillId="35" borderId="22"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xf>
    <xf numFmtId="3" fontId="18" fillId="36" borderId="22" xfId="0" applyNumberFormat="1" applyFont="1" applyFill="1" applyBorder="1" applyAlignment="1" applyProtection="1">
      <alignment horizontal="center" vertical="center"/>
      <protection/>
    </xf>
    <xf numFmtId="3" fontId="5" fillId="34"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3" borderId="22" xfId="0" applyNumberFormat="1" applyFont="1" applyFill="1" applyBorder="1" applyAlignment="1" applyProtection="1">
      <alignment horizontal="right" vertical="center"/>
      <protection/>
    </xf>
    <xf numFmtId="3" fontId="4" fillId="35" borderId="22" xfId="0" applyNumberFormat="1" applyFont="1" applyFill="1" applyBorder="1" applyAlignment="1" applyProtection="1">
      <alignment horizontal="right" vertical="center"/>
      <protection locked="0"/>
    </xf>
    <xf numFmtId="3" fontId="4" fillId="33" borderId="22" xfId="42" applyNumberFormat="1" applyFont="1" applyFill="1" applyBorder="1" applyAlignment="1" applyProtection="1">
      <alignment horizontal="right" vertical="center"/>
      <protection/>
    </xf>
    <xf numFmtId="3" fontId="5" fillId="34" borderId="22" xfId="0" applyNumberFormat="1" applyFont="1" applyFill="1" applyBorder="1" applyAlignment="1" applyProtection="1">
      <alignment horizontal="right" vertical="center"/>
      <protection/>
    </xf>
    <xf numFmtId="3" fontId="4" fillId="34" borderId="22" xfId="0" applyNumberFormat="1" applyFont="1" applyFill="1" applyBorder="1" applyAlignment="1" applyProtection="1">
      <alignment horizontal="right" vertical="center"/>
      <protection/>
    </xf>
    <xf numFmtId="14" fontId="4" fillId="35" borderId="12" xfId="0" applyNumberFormat="1" applyFont="1" applyFill="1" applyBorder="1" applyAlignment="1" applyProtection="1">
      <alignment horizontal="left" vertical="center"/>
      <protection locked="0"/>
    </xf>
    <xf numFmtId="14" fontId="4" fillId="35" borderId="12" xfId="0" applyNumberFormat="1" applyFont="1" applyFill="1" applyBorder="1" applyAlignment="1" applyProtection="1">
      <alignment vertical="center"/>
      <protection locked="0"/>
    </xf>
    <xf numFmtId="0" fontId="29" fillId="0" borderId="0" xfId="92" applyFont="1" applyAlignment="1">
      <alignment horizontal="center"/>
      <protection/>
    </xf>
    <xf numFmtId="0" fontId="4" fillId="0" borderId="0" xfId="92" applyFont="1" applyAlignment="1">
      <alignment wrapText="1"/>
      <protection/>
    </xf>
    <xf numFmtId="0" fontId="30" fillId="0" borderId="0" xfId="74" applyFont="1" applyAlignment="1" applyProtection="1">
      <alignment/>
      <protection/>
    </xf>
    <xf numFmtId="0" fontId="4" fillId="0" borderId="0" xfId="92" applyFont="1">
      <alignment/>
      <protection/>
    </xf>
    <xf numFmtId="0" fontId="31" fillId="0" borderId="0" xfId="0" applyFont="1" applyAlignment="1">
      <alignment/>
    </xf>
    <xf numFmtId="187" fontId="31" fillId="0" borderId="0" xfId="0" applyNumberFormat="1" applyFont="1" applyAlignment="1">
      <alignment/>
    </xf>
    <xf numFmtId="0" fontId="31" fillId="0" borderId="0" xfId="0" applyFont="1" applyBorder="1" applyAlignment="1">
      <alignment/>
    </xf>
    <xf numFmtId="0" fontId="31" fillId="0" borderId="0" xfId="0" applyFont="1" applyBorder="1" applyAlignment="1">
      <alignment horizontal="centerContinuous"/>
    </xf>
    <xf numFmtId="0" fontId="26"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6" fillId="0" borderId="0" xfId="0" applyFont="1" applyAlignment="1">
      <alignment vertical="center" wrapText="1"/>
    </xf>
    <xf numFmtId="0" fontId="5" fillId="0" borderId="0" xfId="0" applyFont="1" applyAlignment="1">
      <alignment wrapText="1"/>
    </xf>
    <xf numFmtId="0" fontId="87" fillId="0" borderId="0" xfId="0" applyFont="1" applyAlignment="1">
      <alignment vertical="center" wrapText="1"/>
    </xf>
    <xf numFmtId="0" fontId="8" fillId="40" borderId="10"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88" fillId="33" borderId="0" xfId="0" applyFont="1" applyFill="1" applyAlignment="1" applyProtection="1">
      <alignment horizontal="center" vertical="center"/>
      <protection/>
    </xf>
    <xf numFmtId="3" fontId="18" fillId="36" borderId="12" xfId="0" applyNumberFormat="1" applyFont="1" applyFill="1" applyBorder="1" applyAlignment="1" applyProtection="1">
      <alignment horizontal="center" vertical="center"/>
      <protection/>
    </xf>
    <xf numFmtId="37" fontId="5" fillId="33" borderId="0" xfId="0" applyNumberFormat="1" applyFont="1" applyFill="1" applyBorder="1" applyAlignment="1" applyProtection="1">
      <alignment vertical="center"/>
      <protection/>
    </xf>
    <xf numFmtId="0" fontId="20" fillId="33"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183" fontId="4" fillId="38" borderId="24" xfId="0" applyNumberFormat="1" applyFont="1" applyFill="1" applyBorder="1" applyAlignment="1" applyProtection="1">
      <alignment horizontal="center"/>
      <protection locked="0"/>
    </xf>
    <xf numFmtId="0" fontId="4" fillId="0" borderId="0" xfId="0" applyFont="1" applyFill="1" applyBorder="1" applyAlignment="1" applyProtection="1">
      <alignment/>
      <protection/>
    </xf>
    <xf numFmtId="0" fontId="4" fillId="39" borderId="14" xfId="0" applyFont="1" applyFill="1" applyBorder="1" applyAlignment="1" applyProtection="1">
      <alignment/>
      <protection/>
    </xf>
    <xf numFmtId="0" fontId="4" fillId="39" borderId="18" xfId="0" applyFont="1" applyFill="1" applyBorder="1" applyAlignment="1" applyProtection="1">
      <alignment/>
      <protection/>
    </xf>
    <xf numFmtId="187" fontId="4" fillId="43" borderId="19" xfId="0" applyNumberFormat="1" applyFont="1" applyFill="1" applyBorder="1" applyAlignment="1" applyProtection="1">
      <alignment horizontal="center"/>
      <protection/>
    </xf>
    <xf numFmtId="0" fontId="4" fillId="0" borderId="0" xfId="0" applyFont="1" applyAlignment="1" applyProtection="1">
      <alignment/>
      <protection/>
    </xf>
    <xf numFmtId="187" fontId="4" fillId="39" borderId="19" xfId="0" applyNumberFormat="1" applyFont="1" applyFill="1" applyBorder="1" applyAlignment="1" applyProtection="1">
      <alignment horizontal="center" vertical="center"/>
      <protection/>
    </xf>
    <xf numFmtId="0" fontId="4" fillId="39" borderId="14" xfId="0" applyFont="1" applyFill="1" applyBorder="1" applyAlignment="1" applyProtection="1">
      <alignment vertical="center"/>
      <protection/>
    </xf>
    <xf numFmtId="0" fontId="4" fillId="39" borderId="18" xfId="0" applyFont="1" applyFill="1" applyBorder="1" applyAlignment="1" applyProtection="1">
      <alignment vertical="center"/>
      <protection/>
    </xf>
    <xf numFmtId="187" fontId="4" fillId="39" borderId="24" xfId="0" applyNumberFormat="1" applyFont="1" applyFill="1" applyBorder="1" applyAlignment="1" applyProtection="1">
      <alignment horizontal="center"/>
      <protection/>
    </xf>
    <xf numFmtId="0" fontId="4" fillId="39" borderId="0" xfId="0" applyFont="1" applyFill="1" applyBorder="1" applyAlignment="1" applyProtection="1">
      <alignment/>
      <protection/>
    </xf>
    <xf numFmtId="0" fontId="4" fillId="39" borderId="20"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43" borderId="24" xfId="0" applyFont="1" applyFill="1" applyBorder="1" applyAlignment="1" applyProtection="1">
      <alignment/>
      <protection/>
    </xf>
    <xf numFmtId="0" fontId="4" fillId="43" borderId="20" xfId="0" applyFont="1" applyFill="1" applyBorder="1" applyAlignment="1" applyProtection="1">
      <alignment/>
      <protection/>
    </xf>
    <xf numFmtId="187" fontId="4" fillId="39" borderId="19" xfId="0" applyNumberFormat="1" applyFont="1" applyFill="1" applyBorder="1" applyAlignment="1" applyProtection="1">
      <alignment horizontal="center"/>
      <protection/>
    </xf>
    <xf numFmtId="0" fontId="4" fillId="43" borderId="14" xfId="0" applyFont="1" applyFill="1" applyBorder="1" applyAlignment="1" applyProtection="1">
      <alignment/>
      <protection/>
    </xf>
    <xf numFmtId="0" fontId="4" fillId="43" borderId="18"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0" xfId="0" applyFont="1" applyFill="1" applyBorder="1" applyAlignment="1" applyProtection="1">
      <alignment/>
      <protection/>
    </xf>
    <xf numFmtId="0" fontId="8" fillId="43" borderId="20" xfId="0" applyFont="1" applyFill="1" applyBorder="1" applyAlignment="1" applyProtection="1">
      <alignment/>
      <protection/>
    </xf>
    <xf numFmtId="3" fontId="4" fillId="38" borderId="12" xfId="0" applyNumberFormat="1" applyFont="1" applyFill="1" applyBorder="1" applyAlignment="1" applyProtection="1">
      <alignment horizontal="right" vertical="center"/>
      <protection locked="0"/>
    </xf>
    <xf numFmtId="0" fontId="4" fillId="38" borderId="22" xfId="0" applyNumberFormat="1" applyFont="1" applyFill="1" applyBorder="1" applyAlignment="1" applyProtection="1">
      <alignment horizontal="left" vertical="center"/>
      <protection locked="0"/>
    </xf>
    <xf numFmtId="183" fontId="4" fillId="34" borderId="12" xfId="0" applyNumberFormat="1" applyFont="1" applyFill="1" applyBorder="1" applyAlignment="1" applyProtection="1">
      <alignment vertical="center"/>
      <protection/>
    </xf>
    <xf numFmtId="183" fontId="4" fillId="33" borderId="12"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7" xfId="0" applyNumberFormat="1" applyFont="1" applyFill="1" applyBorder="1" applyAlignment="1" applyProtection="1">
      <alignment vertical="center"/>
      <protection/>
    </xf>
    <xf numFmtId="0" fontId="4" fillId="33" borderId="0" xfId="131" applyFont="1" applyFill="1" applyAlignment="1" applyProtection="1">
      <alignment horizontal="right" vertical="center"/>
      <protection/>
    </xf>
    <xf numFmtId="37" fontId="4" fillId="33" borderId="0" xfId="91" applyNumberFormat="1" applyFont="1" applyFill="1" applyAlignment="1" applyProtection="1">
      <alignment horizontal="right" vertical="center"/>
      <protection/>
    </xf>
    <xf numFmtId="0" fontId="89" fillId="33" borderId="0" xfId="91" applyFont="1" applyFill="1" applyAlignment="1" applyProtection="1">
      <alignment horizontal="center" vertical="center"/>
      <protection/>
    </xf>
    <xf numFmtId="0" fontId="4" fillId="0" borderId="0" xfId="131" applyFont="1" applyAlignment="1">
      <alignment vertical="center" wrapText="1"/>
      <protection/>
    </xf>
    <xf numFmtId="0" fontId="4" fillId="0" borderId="0" xfId="131" applyFont="1" applyAlignment="1">
      <alignment vertical="center"/>
      <protection/>
    </xf>
    <xf numFmtId="0" fontId="4" fillId="0" borderId="0" xfId="603" applyFont="1" applyAlignment="1">
      <alignment horizontal="left" vertical="center" wrapText="1"/>
      <protection/>
    </xf>
    <xf numFmtId="0" fontId="10" fillId="0" borderId="0" xfId="603" applyFont="1" applyAlignment="1">
      <alignment horizontal="left" vertical="center" wrapText="1"/>
      <protection/>
    </xf>
    <xf numFmtId="0" fontId="31" fillId="40" borderId="0" xfId="0" applyFont="1" applyFill="1" applyAlignment="1">
      <alignment/>
    </xf>
    <xf numFmtId="0" fontId="31" fillId="33" borderId="0" xfId="0" applyFont="1" applyFill="1" applyAlignment="1">
      <alignment/>
    </xf>
    <xf numFmtId="0" fontId="32" fillId="33" borderId="0" xfId="0" applyFont="1" applyFill="1" applyAlignment="1">
      <alignment horizontal="center" wrapText="1"/>
    </xf>
    <xf numFmtId="0" fontId="32" fillId="40" borderId="0" xfId="0" applyFont="1" applyFill="1" applyAlignment="1">
      <alignment horizontal="center" wrapText="1"/>
    </xf>
    <xf numFmtId="0" fontId="32" fillId="33" borderId="0" xfId="0" applyFont="1" applyFill="1" applyAlignment="1">
      <alignment horizontal="center"/>
    </xf>
    <xf numFmtId="0" fontId="32" fillId="33" borderId="0" xfId="0" applyFont="1" applyFill="1" applyAlignment="1">
      <alignment/>
    </xf>
    <xf numFmtId="187" fontId="31" fillId="35" borderId="14" xfId="0" applyNumberFormat="1" applyFont="1" applyFill="1" applyBorder="1" applyAlignment="1" applyProtection="1">
      <alignment horizontal="center"/>
      <protection locked="0"/>
    </xf>
    <xf numFmtId="0" fontId="31" fillId="33" borderId="0" xfId="0" applyFont="1" applyFill="1" applyAlignment="1">
      <alignment horizontal="center"/>
    </xf>
    <xf numFmtId="0" fontId="32" fillId="33" borderId="28" xfId="0" applyFont="1" applyFill="1" applyBorder="1" applyAlignment="1">
      <alignment/>
    </xf>
    <xf numFmtId="0" fontId="31" fillId="33" borderId="29" xfId="0" applyFont="1" applyFill="1" applyBorder="1" applyAlignment="1">
      <alignment/>
    </xf>
    <xf numFmtId="0" fontId="31" fillId="33" borderId="30" xfId="0" applyFont="1" applyFill="1" applyBorder="1" applyAlignment="1">
      <alignment/>
    </xf>
    <xf numFmtId="187" fontId="31" fillId="33" borderId="31" xfId="0" applyNumberFormat="1" applyFont="1" applyFill="1" applyBorder="1" applyAlignment="1">
      <alignment/>
    </xf>
    <xf numFmtId="0" fontId="31" fillId="33" borderId="0" xfId="0" applyFont="1" applyFill="1" applyBorder="1" applyAlignment="1">
      <alignment/>
    </xf>
    <xf numFmtId="0" fontId="31" fillId="33" borderId="0" xfId="0" applyFont="1" applyFill="1" applyBorder="1" applyAlignment="1">
      <alignment horizontal="center"/>
    </xf>
    <xf numFmtId="0" fontId="31" fillId="33" borderId="32" xfId="0" applyFont="1" applyFill="1" applyBorder="1" applyAlignment="1">
      <alignment/>
    </xf>
    <xf numFmtId="0" fontId="31" fillId="33" borderId="33" xfId="0" applyFont="1" applyFill="1" applyBorder="1" applyAlignment="1">
      <alignment/>
    </xf>
    <xf numFmtId="0" fontId="31" fillId="33" borderId="34" xfId="0" applyFont="1" applyFill="1" applyBorder="1" applyAlignment="1">
      <alignment/>
    </xf>
    <xf numFmtId="0" fontId="31" fillId="33" borderId="35" xfId="0" applyFont="1" applyFill="1" applyBorder="1" applyAlignment="1">
      <alignment/>
    </xf>
    <xf numFmtId="0" fontId="31" fillId="33" borderId="28" xfId="0" applyFont="1" applyFill="1" applyBorder="1" applyAlignment="1">
      <alignment/>
    </xf>
    <xf numFmtId="187" fontId="31" fillId="35" borderId="31" xfId="0" applyNumberFormat="1" applyFont="1" applyFill="1" applyBorder="1" applyAlignment="1" applyProtection="1">
      <alignment horizontal="center"/>
      <protection locked="0"/>
    </xf>
    <xf numFmtId="0" fontId="31" fillId="33" borderId="36" xfId="0" applyFont="1" applyFill="1" applyBorder="1" applyAlignment="1">
      <alignment/>
    </xf>
    <xf numFmtId="0" fontId="31" fillId="33" borderId="0" xfId="0" applyFont="1" applyFill="1" applyBorder="1" applyAlignment="1">
      <alignment/>
    </xf>
    <xf numFmtId="183" fontId="31" fillId="33" borderId="0" xfId="0" applyNumberFormat="1" applyFont="1" applyFill="1" applyBorder="1" applyAlignment="1">
      <alignment horizontal="center"/>
    </xf>
    <xf numFmtId="0" fontId="31" fillId="33" borderId="35" xfId="0" applyFont="1" applyFill="1" applyBorder="1" applyAlignment="1">
      <alignment/>
    </xf>
    <xf numFmtId="0" fontId="36" fillId="0" borderId="0" xfId="0" applyFont="1" applyBorder="1" applyAlignment="1">
      <alignment/>
    </xf>
    <xf numFmtId="0" fontId="32" fillId="0" borderId="0" xfId="0" applyFont="1" applyBorder="1" applyAlignment="1">
      <alignment horizontal="centerContinuous"/>
    </xf>
    <xf numFmtId="0" fontId="31" fillId="40" borderId="0" xfId="0" applyFont="1" applyFill="1" applyBorder="1" applyAlignment="1">
      <alignment/>
    </xf>
    <xf numFmtId="187" fontId="31" fillId="33" borderId="0" xfId="0" applyNumberFormat="1" applyFont="1" applyFill="1" applyBorder="1" applyAlignment="1">
      <alignment horizontal="center"/>
    </xf>
    <xf numFmtId="0" fontId="31" fillId="33" borderId="37" xfId="0" applyFont="1" applyFill="1" applyBorder="1" applyAlignment="1">
      <alignment/>
    </xf>
    <xf numFmtId="0" fontId="31" fillId="33" borderId="21" xfId="0" applyFont="1" applyFill="1" applyBorder="1" applyAlignment="1">
      <alignment/>
    </xf>
    <xf numFmtId="0" fontId="31" fillId="33" borderId="21" xfId="0" applyFont="1" applyFill="1" applyBorder="1" applyAlignment="1">
      <alignment horizontal="center"/>
    </xf>
    <xf numFmtId="0" fontId="31" fillId="33" borderId="38" xfId="0" applyFont="1" applyFill="1" applyBorder="1" applyAlignment="1">
      <alignment/>
    </xf>
    <xf numFmtId="188" fontId="31" fillId="33" borderId="0" xfId="0" applyNumberFormat="1" applyFont="1" applyFill="1" applyBorder="1" applyAlignment="1">
      <alignment horizontal="center"/>
    </xf>
    <xf numFmtId="5" fontId="31" fillId="33" borderId="34" xfId="0" applyNumberFormat="1" applyFont="1" applyFill="1" applyBorder="1" applyAlignment="1">
      <alignment horizontal="center"/>
    </xf>
    <xf numFmtId="0" fontId="31" fillId="33" borderId="34" xfId="0" applyFont="1" applyFill="1" applyBorder="1" applyAlignment="1">
      <alignment horizontal="center"/>
    </xf>
    <xf numFmtId="183" fontId="31" fillId="33" borderId="34" xfId="0" applyNumberFormat="1" applyFont="1" applyFill="1" applyBorder="1" applyAlignment="1">
      <alignment horizontal="center"/>
    </xf>
    <xf numFmtId="188" fontId="31" fillId="33" borderId="34" xfId="0" applyNumberFormat="1" applyFont="1" applyFill="1" applyBorder="1" applyAlignment="1">
      <alignment horizontal="center"/>
    </xf>
    <xf numFmtId="0" fontId="31" fillId="33" borderId="0" xfId="0" applyFont="1" applyFill="1" applyAlignment="1">
      <alignment horizontal="center" wrapText="1"/>
    </xf>
    <xf numFmtId="0" fontId="32" fillId="33" borderId="28" xfId="0" applyFont="1" applyFill="1" applyBorder="1" applyAlignment="1">
      <alignment/>
    </xf>
    <xf numFmtId="0" fontId="31" fillId="33" borderId="29" xfId="0" applyFont="1" applyFill="1" applyBorder="1" applyAlignment="1">
      <alignment/>
    </xf>
    <xf numFmtId="0" fontId="31" fillId="33" borderId="30" xfId="0" applyFont="1" applyFill="1" applyBorder="1" applyAlignment="1">
      <alignment/>
    </xf>
    <xf numFmtId="0" fontId="31" fillId="33" borderId="36" xfId="0" applyFont="1" applyFill="1" applyBorder="1" applyAlignment="1">
      <alignment/>
    </xf>
    <xf numFmtId="0" fontId="31" fillId="33" borderId="32" xfId="0" applyFont="1" applyFill="1" applyBorder="1" applyAlignment="1">
      <alignment/>
    </xf>
    <xf numFmtId="0" fontId="31" fillId="33" borderId="37" xfId="0" applyFont="1" applyFill="1" applyBorder="1" applyAlignment="1">
      <alignment/>
    </xf>
    <xf numFmtId="0" fontId="31" fillId="33" borderId="21" xfId="0" applyFont="1" applyFill="1" applyBorder="1" applyAlignment="1">
      <alignment/>
    </xf>
    <xf numFmtId="0" fontId="31" fillId="33" borderId="38" xfId="0" applyFont="1" applyFill="1" applyBorder="1" applyAlignment="1">
      <alignment/>
    </xf>
    <xf numFmtId="182" fontId="31" fillId="33" borderId="0" xfId="0" applyNumberFormat="1" applyFont="1" applyFill="1" applyBorder="1" applyAlignment="1">
      <alignment horizontal="center"/>
    </xf>
    <xf numFmtId="0" fontId="31" fillId="33" borderId="33" xfId="0" applyFont="1" applyFill="1" applyBorder="1" applyAlignment="1">
      <alignment/>
    </xf>
    <xf numFmtId="5" fontId="31" fillId="33" borderId="0" xfId="0" applyNumberFormat="1" applyFont="1" applyFill="1" applyBorder="1" applyAlignment="1">
      <alignment horizontal="center"/>
    </xf>
    <xf numFmtId="0" fontId="31" fillId="40" borderId="0" xfId="0" applyFont="1" applyFill="1" applyAlignment="1">
      <alignment/>
    </xf>
    <xf numFmtId="183" fontId="31" fillId="35" borderId="14" xfId="0" applyNumberFormat="1" applyFont="1" applyFill="1" applyBorder="1" applyAlignment="1" applyProtection="1">
      <alignment horizontal="center"/>
      <protection locked="0"/>
    </xf>
    <xf numFmtId="188" fontId="31" fillId="33" borderId="0" xfId="0" applyNumberFormat="1" applyFont="1" applyFill="1" applyBorder="1" applyAlignment="1">
      <alignment/>
    </xf>
    <xf numFmtId="187" fontId="31" fillId="33" borderId="34" xfId="0" applyNumberFormat="1" applyFont="1" applyFill="1" applyBorder="1" applyAlignment="1">
      <alignment horizontal="center"/>
    </xf>
    <xf numFmtId="183" fontId="31" fillId="33" borderId="34" xfId="0" applyNumberFormat="1" applyFont="1" applyFill="1" applyBorder="1" applyAlignment="1" applyProtection="1">
      <alignment horizontal="center"/>
      <protection locked="0"/>
    </xf>
    <xf numFmtId="188" fontId="31" fillId="33" borderId="34" xfId="0" applyNumberFormat="1" applyFont="1" applyFill="1" applyBorder="1" applyAlignment="1">
      <alignment/>
    </xf>
    <xf numFmtId="0" fontId="32" fillId="33" borderId="36" xfId="0" applyFont="1" applyFill="1" applyBorder="1" applyAlignment="1">
      <alignment horizontal="centerContinuous" vertical="center"/>
    </xf>
    <xf numFmtId="187" fontId="32" fillId="33" borderId="0" xfId="0" applyNumberFormat="1" applyFont="1" applyFill="1" applyBorder="1" applyAlignment="1">
      <alignment horizontal="centerContinuous" vertical="center"/>
    </xf>
    <xf numFmtId="0" fontId="32" fillId="33" borderId="0" xfId="0" applyFont="1" applyFill="1" applyBorder="1" applyAlignment="1">
      <alignment horizontal="centerContinuous" vertical="center"/>
    </xf>
    <xf numFmtId="183" fontId="32" fillId="33" borderId="0" xfId="0" applyNumberFormat="1" applyFont="1" applyFill="1" applyBorder="1" applyAlignment="1" applyProtection="1">
      <alignment horizontal="centerContinuous" vertical="center"/>
      <protection locked="0"/>
    </xf>
    <xf numFmtId="188" fontId="32" fillId="33" borderId="0" xfId="0" applyNumberFormat="1" applyFont="1" applyFill="1" applyBorder="1" applyAlignment="1">
      <alignment horizontal="centerContinuous" vertical="center"/>
    </xf>
    <xf numFmtId="0" fontId="32" fillId="33" borderId="32" xfId="0" applyFont="1" applyFill="1" applyBorder="1" applyAlignment="1">
      <alignment horizontal="centerContinuous" vertical="center"/>
    </xf>
    <xf numFmtId="0" fontId="32" fillId="33" borderId="36" xfId="0" applyFont="1" applyFill="1" applyBorder="1" applyAlignment="1">
      <alignment horizontal="centerContinuous"/>
    </xf>
    <xf numFmtId="187" fontId="32" fillId="33" borderId="0" xfId="0" applyNumberFormat="1" applyFont="1" applyFill="1" applyBorder="1" applyAlignment="1">
      <alignment horizontal="centerContinuous"/>
    </xf>
    <xf numFmtId="0" fontId="32" fillId="33" borderId="0" xfId="0" applyFont="1" applyFill="1" applyBorder="1" applyAlignment="1">
      <alignment horizontal="centerContinuous"/>
    </xf>
    <xf numFmtId="183" fontId="32" fillId="33" borderId="0" xfId="0" applyNumberFormat="1" applyFont="1" applyFill="1" applyBorder="1" applyAlignment="1" applyProtection="1">
      <alignment horizontal="centerContinuous"/>
      <protection locked="0"/>
    </xf>
    <xf numFmtId="188" fontId="32" fillId="33" borderId="0" xfId="0" applyNumberFormat="1" applyFont="1" applyFill="1" applyBorder="1" applyAlignment="1">
      <alignment horizontal="centerContinuous"/>
    </xf>
    <xf numFmtId="0" fontId="32" fillId="33" borderId="32" xfId="0" applyFont="1" applyFill="1" applyBorder="1" applyAlignment="1">
      <alignment horizontal="centerContinuous"/>
    </xf>
    <xf numFmtId="183" fontId="31" fillId="33" borderId="0" xfId="0" applyNumberFormat="1" applyFont="1" applyFill="1" applyBorder="1" applyAlignment="1" applyProtection="1">
      <alignment horizontal="center"/>
      <protection locked="0"/>
    </xf>
    <xf numFmtId="187" fontId="31" fillId="33" borderId="29" xfId="0" applyNumberFormat="1" applyFont="1" applyFill="1" applyBorder="1" applyAlignment="1">
      <alignment horizontal="center"/>
    </xf>
    <xf numFmtId="0" fontId="31" fillId="33" borderId="29" xfId="0" applyFont="1" applyFill="1" applyBorder="1" applyAlignment="1">
      <alignment horizontal="center"/>
    </xf>
    <xf numFmtId="183" fontId="31" fillId="33" borderId="29" xfId="0" applyNumberFormat="1" applyFont="1" applyFill="1" applyBorder="1" applyAlignment="1" applyProtection="1">
      <alignment horizontal="center"/>
      <protection locked="0"/>
    </xf>
    <xf numFmtId="188" fontId="31" fillId="33" borderId="29" xfId="0" applyNumberFormat="1" applyFont="1" applyFill="1" applyBorder="1" applyAlignment="1">
      <alignment/>
    </xf>
    <xf numFmtId="187" fontId="31" fillId="33" borderId="0" xfId="0" applyNumberFormat="1" applyFont="1" applyFill="1" applyBorder="1" applyAlignment="1" applyProtection="1">
      <alignment horizontal="center"/>
      <protection locked="0"/>
    </xf>
    <xf numFmtId="0" fontId="31" fillId="47" borderId="0" xfId="0" applyFont="1" applyFill="1" applyAlignment="1">
      <alignment/>
    </xf>
    <xf numFmtId="0" fontId="4" fillId="33" borderId="12" xfId="645" applyFont="1" applyFill="1" applyBorder="1" applyAlignment="1" applyProtection="1">
      <alignment vertical="center"/>
      <protection/>
    </xf>
    <xf numFmtId="3" fontId="4" fillId="33" borderId="12" xfId="645" applyNumberFormat="1" applyFont="1" applyFill="1" applyBorder="1" applyAlignment="1" applyProtection="1">
      <alignment vertical="center"/>
      <protection/>
    </xf>
    <xf numFmtId="0" fontId="4" fillId="33" borderId="0" xfId="645" applyFont="1" applyFill="1" applyBorder="1" applyAlignment="1" applyProtection="1">
      <alignment horizontal="left" vertical="center"/>
      <protection locked="0"/>
    </xf>
    <xf numFmtId="3" fontId="5" fillId="33" borderId="12" xfId="645"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wrapText="1"/>
    </xf>
    <xf numFmtId="0" fontId="4" fillId="33" borderId="0" xfId="0" applyFont="1" applyFill="1" applyBorder="1" applyAlignment="1">
      <alignment vertical="center"/>
    </xf>
    <xf numFmtId="0" fontId="4" fillId="33" borderId="0" xfId="0" applyFont="1" applyFill="1" applyBorder="1" applyAlignment="1" applyProtection="1">
      <alignment horizontal="fill" vertical="center"/>
      <protection locked="0"/>
    </xf>
    <xf numFmtId="0" fontId="4" fillId="33" borderId="0" xfId="0" applyFont="1" applyFill="1" applyBorder="1" applyAlignment="1" applyProtection="1">
      <alignment horizontal="centerContinuous" vertical="center"/>
      <protection/>
    </xf>
    <xf numFmtId="0" fontId="4" fillId="0" borderId="0" xfId="0" applyFont="1" applyAlignment="1">
      <alignment/>
    </xf>
    <xf numFmtId="0" fontId="10" fillId="0" borderId="0" xfId="602" applyFont="1">
      <alignment/>
      <protection/>
    </xf>
    <xf numFmtId="0" fontId="37" fillId="0" borderId="0" xfId="0" applyFont="1" applyAlignment="1">
      <alignment/>
    </xf>
    <xf numFmtId="0" fontId="4" fillId="0" borderId="0" xfId="604" applyFont="1" applyAlignment="1">
      <alignment horizontal="left" vertical="center"/>
      <protection/>
    </xf>
    <xf numFmtId="0" fontId="38" fillId="0" borderId="0" xfId="604" applyFont="1">
      <alignment/>
      <protection/>
    </xf>
    <xf numFmtId="184" fontId="39" fillId="0" borderId="0" xfId="604" applyNumberFormat="1" applyFont="1" applyAlignment="1">
      <alignment horizontal="left" vertical="center"/>
      <protection/>
    </xf>
    <xf numFmtId="0" fontId="39" fillId="0" borderId="0" xfId="604" applyNumberFormat="1" applyFont="1" applyAlignment="1">
      <alignment horizontal="left" vertical="center"/>
      <protection/>
    </xf>
    <xf numFmtId="1" fontId="39" fillId="0" borderId="0" xfId="604" applyNumberFormat="1" applyFont="1" applyAlignment="1">
      <alignment horizontal="left" vertical="center"/>
      <protection/>
    </xf>
    <xf numFmtId="0" fontId="40" fillId="0" borderId="0" xfId="604" applyFont="1" applyAlignment="1">
      <alignment horizontal="left" vertical="center"/>
      <protection/>
    </xf>
    <xf numFmtId="37" fontId="4" fillId="33" borderId="19" xfId="0" applyNumberFormat="1" applyFont="1" applyFill="1" applyBorder="1" applyAlignment="1" applyProtection="1">
      <alignment horizontal="fill" vertical="center"/>
      <protection/>
    </xf>
    <xf numFmtId="3" fontId="4" fillId="33" borderId="11" xfId="0" applyNumberFormat="1" applyFont="1" applyFill="1" applyBorder="1" applyAlignment="1" applyProtection="1">
      <alignment horizontal="right" vertical="center"/>
      <protection/>
    </xf>
    <xf numFmtId="164" fontId="4" fillId="33"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xf>
    <xf numFmtId="3" fontId="4" fillId="33" borderId="10" xfId="0" applyNumberFormat="1" applyFont="1" applyFill="1" applyBorder="1" applyAlignment="1" applyProtection="1">
      <alignment horizontal="right" vertical="center"/>
      <protection/>
    </xf>
    <xf numFmtId="37" fontId="4" fillId="33" borderId="10" xfId="0" applyNumberFormat="1" applyFont="1" applyFill="1" applyBorder="1" applyAlignment="1" applyProtection="1">
      <alignment horizontal="right" vertical="center"/>
      <protection/>
    </xf>
    <xf numFmtId="164" fontId="4" fillId="33" borderId="10" xfId="0" applyNumberFormat="1" applyFont="1" applyFill="1" applyBorder="1" applyAlignment="1" applyProtection="1">
      <alignment horizontal="right" vertical="center"/>
      <protection/>
    </xf>
    <xf numFmtId="190" fontId="4" fillId="35" borderId="12" xfId="0" applyNumberFormat="1" applyFont="1" applyFill="1" applyBorder="1" applyAlignment="1" applyProtection="1">
      <alignment vertical="center"/>
      <protection locked="0"/>
    </xf>
    <xf numFmtId="49" fontId="4" fillId="35" borderId="12" xfId="0" applyNumberFormat="1" applyFont="1" applyFill="1" applyBorder="1" applyAlignment="1" applyProtection="1">
      <alignment horizontal="center" vertical="center"/>
      <protection locked="0"/>
    </xf>
    <xf numFmtId="190" fontId="4" fillId="33" borderId="0" xfId="91" applyNumberFormat="1" applyFont="1" applyFill="1" applyBorder="1" applyAlignment="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0" xfId="0" applyFont="1" applyFill="1" applyBorder="1" applyAlignment="1" applyProtection="1">
      <alignment vertical="center"/>
      <protection/>
    </xf>
    <xf numFmtId="187" fontId="8" fillId="33" borderId="24" xfId="0" applyNumberFormat="1" applyFont="1" applyFill="1" applyBorder="1" applyAlignment="1" applyProtection="1">
      <alignment horizontal="center" vertical="center"/>
      <protection/>
    </xf>
    <xf numFmtId="0" fontId="8" fillId="33" borderId="20" xfId="0" applyFont="1" applyFill="1" applyBorder="1" applyAlignment="1" applyProtection="1">
      <alignment horizontal="left" vertical="center"/>
      <protection/>
    </xf>
    <xf numFmtId="187" fontId="8" fillId="35" borderId="12" xfId="0" applyNumberFormat="1" applyFont="1" applyFill="1" applyBorder="1" applyAlignment="1" applyProtection="1">
      <alignment horizontal="center" vertical="center"/>
      <protection locked="0"/>
    </xf>
    <xf numFmtId="0" fontId="35" fillId="33" borderId="23" xfId="0" applyFont="1" applyFill="1" applyBorder="1" applyAlignment="1" applyProtection="1">
      <alignment horizontal="center" vertical="center"/>
      <protection/>
    </xf>
    <xf numFmtId="0" fontId="35" fillId="36" borderId="20" xfId="0" applyFont="1" applyFill="1" applyBorder="1" applyAlignment="1" applyProtection="1">
      <alignment vertical="center"/>
      <protection/>
    </xf>
    <xf numFmtId="0" fontId="4" fillId="36" borderId="0" xfId="0" applyFont="1" applyFill="1" applyBorder="1" applyAlignment="1" applyProtection="1">
      <alignment vertical="center"/>
      <protection/>
    </xf>
    <xf numFmtId="0" fontId="8" fillId="36" borderId="0" xfId="0" applyFont="1" applyFill="1" applyBorder="1" applyAlignment="1" applyProtection="1">
      <alignment vertical="center"/>
      <protection/>
    </xf>
    <xf numFmtId="187" fontId="35" fillId="36" borderId="23" xfId="0" applyNumberFormat="1" applyFont="1" applyFill="1" applyBorder="1" applyAlignment="1" applyProtection="1">
      <alignment horizontal="center" vertical="center"/>
      <protection/>
    </xf>
    <xf numFmtId="37" fontId="8" fillId="33" borderId="18" xfId="0" applyNumberFormat="1" applyFont="1" applyFill="1" applyBorder="1" applyAlignment="1" applyProtection="1">
      <alignment horizontal="left" vertical="center"/>
      <protection/>
    </xf>
    <xf numFmtId="0" fontId="17" fillId="33" borderId="14" xfId="0" applyFont="1" applyFill="1" applyBorder="1" applyAlignment="1">
      <alignment horizontal="left" vertical="center"/>
    </xf>
    <xf numFmtId="187" fontId="35" fillId="36" borderId="19" xfId="0" applyNumberFormat="1" applyFont="1" applyFill="1" applyBorder="1" applyAlignment="1" applyProtection="1">
      <alignment horizontal="center" vertical="center"/>
      <protection locked="0"/>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vertical="center"/>
      <protection/>
    </xf>
    <xf numFmtId="187" fontId="8" fillId="33" borderId="20"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8" fillId="33" borderId="24" xfId="0" applyFont="1" applyFill="1" applyBorder="1" applyAlignment="1" applyProtection="1">
      <alignment vertical="center"/>
      <protection/>
    </xf>
    <xf numFmtId="187" fontId="8" fillId="33" borderId="18" xfId="0" applyNumberFormat="1" applyFont="1" applyFill="1" applyBorder="1" applyAlignment="1" applyProtection="1">
      <alignment horizontal="center" vertical="center"/>
      <protection/>
    </xf>
    <xf numFmtId="187" fontId="8" fillId="33" borderId="20" xfId="0" applyNumberFormat="1" applyFont="1" applyFill="1" applyBorder="1" applyAlignment="1" applyProtection="1">
      <alignment vertical="center"/>
      <protection/>
    </xf>
    <xf numFmtId="187" fontId="35" fillId="36" borderId="18" xfId="0" applyNumberFormat="1" applyFont="1" applyFill="1" applyBorder="1" applyAlignment="1" applyProtection="1">
      <alignment horizontal="center" vertical="center"/>
      <protection/>
    </xf>
    <xf numFmtId="0" fontId="35" fillId="36" borderId="14" xfId="0" applyFont="1" applyFill="1" applyBorder="1" applyAlignment="1" applyProtection="1">
      <alignment vertical="center"/>
      <protection/>
    </xf>
    <xf numFmtId="0" fontId="8" fillId="36" borderId="19" xfId="0" applyFont="1" applyFill="1" applyBorder="1" applyAlignment="1" applyProtection="1">
      <alignment vertical="center"/>
      <protection/>
    </xf>
    <xf numFmtId="0" fontId="4" fillId="36" borderId="19" xfId="0" applyFont="1" applyFill="1" applyBorder="1" applyAlignment="1" applyProtection="1">
      <alignment vertical="center"/>
      <protection/>
    </xf>
    <xf numFmtId="183" fontId="8" fillId="33" borderId="20" xfId="0" applyNumberFormat="1" applyFont="1" applyFill="1" applyBorder="1" applyAlignment="1" applyProtection="1">
      <alignment horizontal="center" vertical="center"/>
      <protection/>
    </xf>
    <xf numFmtId="0" fontId="34" fillId="33" borderId="0" xfId="0" applyFont="1" applyFill="1" applyBorder="1" applyAlignment="1" applyProtection="1">
      <alignment horizontal="center" vertical="center"/>
      <protection/>
    </xf>
    <xf numFmtId="0" fontId="0" fillId="33" borderId="24" xfId="0" applyFill="1" applyBorder="1" applyAlignment="1" applyProtection="1">
      <alignment vertical="center"/>
      <protection/>
    </xf>
    <xf numFmtId="183" fontId="8" fillId="36" borderId="18" xfId="0" applyNumberFormat="1" applyFont="1" applyFill="1" applyBorder="1" applyAlignment="1" applyProtection="1">
      <alignment horizontal="center" vertical="center"/>
      <protection/>
    </xf>
    <xf numFmtId="183" fontId="8" fillId="33" borderId="22" xfId="0" applyNumberFormat="1" applyFont="1" applyFill="1" applyBorder="1" applyAlignment="1" applyProtection="1">
      <alignment horizontal="center" vertical="center"/>
      <protection/>
    </xf>
    <xf numFmtId="183" fontId="8" fillId="36" borderId="22" xfId="0" applyNumberFormat="1" applyFont="1" applyFill="1" applyBorder="1" applyAlignment="1" applyProtection="1">
      <alignment horizontal="center" vertical="center"/>
      <protection/>
    </xf>
    <xf numFmtId="0" fontId="8" fillId="33" borderId="14" xfId="0" applyFont="1" applyFill="1" applyBorder="1" applyAlignment="1" applyProtection="1">
      <alignment horizontal="left" vertical="center"/>
      <protection/>
    </xf>
    <xf numFmtId="0" fontId="34" fillId="33" borderId="14" xfId="0" applyFont="1" applyFill="1" applyBorder="1" applyAlignment="1" applyProtection="1">
      <alignment horizontal="center"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0" fontId="41" fillId="0" borderId="0" xfId="0" applyFont="1" applyAlignment="1" applyProtection="1">
      <alignment/>
      <protection locked="0"/>
    </xf>
    <xf numFmtId="0" fontId="42" fillId="0" borderId="0" xfId="0" applyFont="1" applyAlignment="1" applyProtection="1">
      <alignment vertical="center"/>
      <protection/>
    </xf>
    <xf numFmtId="0" fontId="4" fillId="0" borderId="0" xfId="0" applyFont="1" applyAlignment="1" applyProtection="1">
      <alignment/>
      <protection locked="0"/>
    </xf>
    <xf numFmtId="183" fontId="35" fillId="33" borderId="23"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187" fontId="8" fillId="36" borderId="18" xfId="0" applyNumberFormat="1" applyFont="1" applyFill="1" applyBorder="1" applyAlignment="1" applyProtection="1">
      <alignment horizontal="center" vertical="center"/>
      <protection/>
    </xf>
    <xf numFmtId="0" fontId="8" fillId="36" borderId="14" xfId="0" applyFont="1" applyFill="1" applyBorder="1" applyAlignment="1" applyProtection="1">
      <alignment vertical="center"/>
      <protection/>
    </xf>
    <xf numFmtId="37" fontId="4" fillId="36" borderId="19" xfId="0" applyNumberFormat="1" applyFont="1" applyFill="1" applyBorder="1" applyAlignment="1" applyProtection="1">
      <alignment horizontal="right" vertical="center"/>
      <protection/>
    </xf>
    <xf numFmtId="0" fontId="4" fillId="33" borderId="24" xfId="0" applyFont="1" applyFill="1" applyBorder="1" applyAlignment="1" applyProtection="1">
      <alignment/>
      <protection locked="0"/>
    </xf>
    <xf numFmtId="0" fontId="41" fillId="0" borderId="0" xfId="0" applyFont="1" applyAlignment="1" applyProtection="1">
      <alignment vertical="center"/>
      <protection/>
    </xf>
    <xf numFmtId="0" fontId="4" fillId="33" borderId="24" xfId="0" applyFont="1" applyFill="1" applyBorder="1" applyAlignment="1" applyProtection="1">
      <alignment vertical="center"/>
      <protection locked="0"/>
    </xf>
    <xf numFmtId="0" fontId="4" fillId="36" borderId="19" xfId="0" applyFont="1" applyFill="1" applyBorder="1" applyAlignment="1" applyProtection="1">
      <alignment/>
      <protection locked="0"/>
    </xf>
    <xf numFmtId="187" fontId="22" fillId="33" borderId="20" xfId="0" applyNumberFormat="1" applyFont="1" applyFill="1" applyBorder="1" applyAlignment="1" applyProtection="1">
      <alignment horizontal="center" vertical="center"/>
      <protection/>
    </xf>
    <xf numFmtId="187" fontId="22" fillId="33" borderId="20" xfId="0" applyNumberFormat="1" applyFont="1" applyFill="1" applyBorder="1" applyAlignment="1" applyProtection="1">
      <alignment vertical="center"/>
      <protection/>
    </xf>
    <xf numFmtId="0" fontId="22" fillId="33" borderId="0" xfId="0" applyFont="1" applyFill="1" applyBorder="1" applyAlignment="1" applyProtection="1">
      <alignment vertical="center"/>
      <protection/>
    </xf>
    <xf numFmtId="187" fontId="22" fillId="33" borderId="18" xfId="0" applyNumberFormat="1" applyFont="1" applyFill="1" applyBorder="1" applyAlignment="1" applyProtection="1">
      <alignment horizontal="center" vertical="center"/>
      <protection/>
    </xf>
    <xf numFmtId="187" fontId="22" fillId="36" borderId="18" xfId="0" applyNumberFormat="1" applyFont="1" applyFill="1" applyBorder="1" applyAlignment="1" applyProtection="1">
      <alignment horizontal="center" vertical="center"/>
      <protection/>
    </xf>
    <xf numFmtId="0" fontId="22" fillId="36" borderId="14" xfId="0" applyFont="1" applyFill="1" applyBorder="1" applyAlignment="1" applyProtection="1">
      <alignment vertical="center"/>
      <protection/>
    </xf>
    <xf numFmtId="0" fontId="41" fillId="0" borderId="0" xfId="0" applyFont="1" applyAlignment="1">
      <alignment vertical="center"/>
    </xf>
    <xf numFmtId="10" fontId="4" fillId="35" borderId="12" xfId="0" applyNumberFormat="1" applyFont="1" applyFill="1" applyBorder="1" applyAlignment="1" applyProtection="1">
      <alignment vertical="center"/>
      <protection locked="0"/>
    </xf>
    <xf numFmtId="37" fontId="4" fillId="0" borderId="0" xfId="103" applyNumberFormat="1" applyFont="1" applyFill="1" applyAlignment="1" applyProtection="1">
      <alignment horizontal="left" vertical="center" wrapText="1"/>
      <protection/>
    </xf>
    <xf numFmtId="0" fontId="4" fillId="0" borderId="0" xfId="633" applyFont="1" applyAlignment="1">
      <alignment vertical="center" wrapText="1"/>
      <protection/>
    </xf>
    <xf numFmtId="0" fontId="4" fillId="0" borderId="0" xfId="91" applyFont="1" applyAlignment="1">
      <alignment vertical="center" wrapText="1"/>
      <protection/>
    </xf>
    <xf numFmtId="0" fontId="4" fillId="0" borderId="0" xfId="93" applyFont="1" applyAlignment="1">
      <alignment vertical="center" wrapText="1"/>
      <protection/>
    </xf>
    <xf numFmtId="0" fontId="4" fillId="0" borderId="0" xfId="93" applyFont="1" applyAlignment="1">
      <alignment vertical="center"/>
      <protection/>
    </xf>
    <xf numFmtId="0" fontId="4" fillId="0" borderId="0" xfId="172" applyFont="1" applyAlignment="1">
      <alignment vertical="center"/>
      <protection/>
    </xf>
    <xf numFmtId="0" fontId="90" fillId="0" borderId="0" xfId="645" applyFont="1" applyFill="1" applyAlignment="1" applyProtection="1">
      <alignment vertical="center"/>
      <protection locked="0"/>
    </xf>
    <xf numFmtId="0" fontId="90" fillId="0" borderId="0" xfId="0" applyFont="1" applyFill="1" applyAlignment="1" applyProtection="1">
      <alignment vertical="center"/>
      <protection locked="0"/>
    </xf>
    <xf numFmtId="0" fontId="4" fillId="42" borderId="0" xfId="0" applyFont="1" applyFill="1" applyAlignment="1" applyProtection="1">
      <alignment vertical="center"/>
      <protection locked="0"/>
    </xf>
    <xf numFmtId="0" fontId="4" fillId="0" borderId="0" xfId="0" applyFont="1" applyAlignment="1">
      <alignment wrapText="1"/>
    </xf>
    <xf numFmtId="0" fontId="4" fillId="35" borderId="12" xfId="0" applyFont="1" applyFill="1" applyBorder="1" applyAlignment="1" applyProtection="1">
      <alignment horizontal="left" vertical="center"/>
      <protection locked="0"/>
    </xf>
    <xf numFmtId="37" fontId="4" fillId="35" borderId="12" xfId="0" applyNumberFormat="1" applyFont="1" applyFill="1" applyBorder="1" applyAlignment="1" applyProtection="1">
      <alignment vertical="center"/>
      <protection locked="0"/>
    </xf>
    <xf numFmtId="37" fontId="4" fillId="38" borderId="11" xfId="0" applyNumberFormat="1" applyFont="1" applyFill="1" applyBorder="1" applyAlignment="1" applyProtection="1">
      <alignment vertical="center"/>
      <protection locked="0"/>
    </xf>
    <xf numFmtId="182" fontId="4" fillId="35" borderId="12" xfId="0" applyNumberFormat="1" applyFont="1" applyFill="1" applyBorder="1" applyAlignment="1" applyProtection="1">
      <alignment vertical="center"/>
      <protection locked="0"/>
    </xf>
    <xf numFmtId="49" fontId="4" fillId="35" borderId="22" xfId="604" applyNumberFormat="1" applyFont="1" applyFill="1" applyBorder="1" applyAlignment="1" applyProtection="1">
      <alignment horizontal="left" vertical="center"/>
      <protection locked="0"/>
    </xf>
    <xf numFmtId="49" fontId="4" fillId="35" borderId="23" xfId="604" applyNumberFormat="1" applyFont="1" applyFill="1" applyBorder="1" applyAlignment="1" applyProtection="1">
      <alignment horizontal="left" vertical="center"/>
      <protection locked="0"/>
    </xf>
    <xf numFmtId="49" fontId="4" fillId="35" borderId="12" xfId="604" applyNumberFormat="1" applyFont="1" applyFill="1" applyBorder="1" applyAlignment="1" applyProtection="1">
      <alignment horizontal="left" vertical="center"/>
      <protection locked="0"/>
    </xf>
    <xf numFmtId="49" fontId="4" fillId="35" borderId="12" xfId="603" applyNumberFormat="1" applyFont="1" applyFill="1" applyBorder="1" applyAlignment="1" applyProtection="1">
      <alignment horizontal="left" vertical="center"/>
      <protection locked="0"/>
    </xf>
    <xf numFmtId="0" fontId="4" fillId="35" borderId="22" xfId="603" applyFont="1" applyFill="1" applyBorder="1" applyAlignment="1" applyProtection="1">
      <alignment horizontal="left" vertical="center"/>
      <protection locked="0"/>
    </xf>
    <xf numFmtId="0" fontId="4" fillId="35" borderId="25" xfId="603" applyFont="1" applyFill="1" applyBorder="1" applyAlignment="1" applyProtection="1">
      <alignment horizontal="left" vertical="center"/>
      <protection locked="0"/>
    </xf>
    <xf numFmtId="0" fontId="10" fillId="35" borderId="23" xfId="603" applyFont="1" applyFill="1" applyBorder="1" applyAlignment="1" applyProtection="1">
      <alignment horizontal="left" vertical="center"/>
      <protection locked="0"/>
    </xf>
    <xf numFmtId="0" fontId="4" fillId="0" borderId="0" xfId="0" applyNumberFormat="1" applyFont="1" applyFill="1" applyAlignment="1" applyProtection="1">
      <alignment horizontal="right" vertical="center"/>
      <protection/>
    </xf>
    <xf numFmtId="3" fontId="15" fillId="33" borderId="21" xfId="0" applyNumberFormat="1" applyFont="1" applyFill="1" applyBorder="1" applyAlignment="1" applyProtection="1">
      <alignment horizontal="center" vertical="center"/>
      <protection/>
    </xf>
    <xf numFmtId="0" fontId="4" fillId="0" borderId="0" xfId="93" applyFont="1" applyAlignment="1">
      <alignment horizontal="left" vertical="center"/>
      <protection/>
    </xf>
    <xf numFmtId="165" fontId="4" fillId="33" borderId="10" xfId="0" applyNumberFormat="1" applyFont="1" applyFill="1" applyBorder="1" applyAlignment="1" applyProtection="1">
      <alignment horizontal="center" vertical="center"/>
      <protection/>
    </xf>
    <xf numFmtId="0" fontId="0" fillId="33" borderId="17" xfId="0" applyFill="1" applyBorder="1" applyAlignment="1">
      <alignment vertical="center"/>
    </xf>
    <xf numFmtId="0" fontId="0" fillId="33" borderId="21" xfId="0" applyFill="1" applyBorder="1" applyAlignment="1">
      <alignment vertical="center"/>
    </xf>
    <xf numFmtId="0" fontId="4" fillId="33" borderId="16" xfId="0" applyFont="1" applyFill="1" applyBorder="1" applyAlignment="1" applyProtection="1">
      <alignment horizontal="left" vertical="center"/>
      <protection/>
    </xf>
    <xf numFmtId="3" fontId="4" fillId="44" borderId="14" xfId="42" applyNumberFormat="1" applyFont="1" applyFill="1" applyBorder="1" applyAlignment="1" applyProtection="1">
      <alignment vertical="center"/>
      <protection/>
    </xf>
    <xf numFmtId="0" fontId="9" fillId="33" borderId="0" xfId="93" applyFont="1" applyFill="1" applyAlignment="1" applyProtection="1">
      <alignment horizontal="center" vertical="center"/>
      <protection/>
    </xf>
    <xf numFmtId="3" fontId="4" fillId="33" borderId="0" xfId="93" applyNumberFormat="1" applyFont="1" applyFill="1" applyAlignment="1" applyProtection="1">
      <alignment vertical="center"/>
      <protection/>
    </xf>
    <xf numFmtId="3" fontId="4" fillId="33" borderId="14" xfId="93" applyNumberFormat="1" applyFont="1" applyFill="1" applyBorder="1" applyAlignment="1" applyProtection="1">
      <alignment vertical="center"/>
      <protection/>
    </xf>
    <xf numFmtId="3" fontId="4" fillId="33" borderId="0" xfId="93" applyNumberFormat="1" applyFont="1" applyFill="1" applyBorder="1" applyAlignment="1" applyProtection="1">
      <alignment vertical="center"/>
      <protection/>
    </xf>
    <xf numFmtId="0" fontId="4" fillId="33" borderId="0" xfId="93" applyFont="1" applyFill="1" applyAlignment="1" applyProtection="1">
      <alignment horizontal="left" vertical="center"/>
      <protection/>
    </xf>
    <xf numFmtId="0" fontId="4" fillId="43" borderId="0" xfId="93" applyFont="1" applyFill="1" applyAlignment="1" applyProtection="1">
      <alignment vertical="center"/>
      <protection/>
    </xf>
    <xf numFmtId="0" fontId="4" fillId="33" borderId="0" xfId="93" applyFont="1" applyFill="1" applyAlignment="1" applyProtection="1" quotePrefix="1">
      <alignment vertical="center"/>
      <protection/>
    </xf>
    <xf numFmtId="3" fontId="4" fillId="33" borderId="26" xfId="93" applyNumberFormat="1" applyFont="1" applyFill="1" applyBorder="1" applyAlignment="1" applyProtection="1">
      <alignment vertical="center"/>
      <protection/>
    </xf>
    <xf numFmtId="0" fontId="4" fillId="33" borderId="0" xfId="93" applyFont="1" applyFill="1" applyAlignment="1" applyProtection="1" quotePrefix="1">
      <alignment horizontal="left" vertical="center"/>
      <protection/>
    </xf>
    <xf numFmtId="10" fontId="4" fillId="33" borderId="0" xfId="93" applyNumberFormat="1" applyFont="1" applyFill="1" applyBorder="1" applyAlignment="1" applyProtection="1">
      <alignment vertical="center"/>
      <protection/>
    </xf>
    <xf numFmtId="0" fontId="9" fillId="33" borderId="0" xfId="93" applyFont="1" applyFill="1" applyAlignment="1" applyProtection="1">
      <alignment horizontal="left" vertical="center"/>
      <protection/>
    </xf>
    <xf numFmtId="0" fontId="0" fillId="0" borderId="0" xfId="93">
      <alignment/>
      <protection/>
    </xf>
    <xf numFmtId="0" fontId="68" fillId="48" borderId="0" xfId="475" applyFill="1" applyBorder="1">
      <alignment/>
      <protection/>
    </xf>
    <xf numFmtId="0" fontId="68" fillId="48" borderId="0" xfId="475" applyFill="1" applyBorder="1" applyAlignment="1">
      <alignment horizontal="left" vertical="center"/>
      <protection/>
    </xf>
    <xf numFmtId="0" fontId="68" fillId="48" borderId="0" xfId="475" applyFill="1" applyBorder="1" applyAlignment="1">
      <alignment horizontal="center" vertical="center"/>
      <protection/>
    </xf>
    <xf numFmtId="0" fontId="44" fillId="0" borderId="0" xfId="93" applyFont="1">
      <alignment/>
      <protection/>
    </xf>
    <xf numFmtId="0" fontId="68" fillId="48" borderId="0" xfId="475" applyFill="1">
      <alignment/>
      <protection/>
    </xf>
    <xf numFmtId="0" fontId="83" fillId="48" borderId="0" xfId="475" applyFont="1" applyFill="1" applyBorder="1">
      <alignment/>
      <protection/>
    </xf>
    <xf numFmtId="0" fontId="83" fillId="48" borderId="32" xfId="475" applyFont="1" applyFill="1" applyBorder="1">
      <alignment/>
      <protection/>
    </xf>
    <xf numFmtId="0" fontId="83" fillId="48" borderId="36" xfId="475" applyFont="1" applyFill="1" applyBorder="1">
      <alignment/>
      <protection/>
    </xf>
    <xf numFmtId="0" fontId="83" fillId="48" borderId="33" xfId="475" applyFont="1" applyFill="1" applyBorder="1">
      <alignment/>
      <protection/>
    </xf>
    <xf numFmtId="0" fontId="83" fillId="48" borderId="34" xfId="475" applyFont="1" applyFill="1" applyBorder="1">
      <alignment/>
      <protection/>
    </xf>
    <xf numFmtId="0" fontId="83" fillId="48" borderId="0" xfId="475" applyFont="1" applyFill="1" applyBorder="1" applyAlignment="1">
      <alignment horizontal="center"/>
      <protection/>
    </xf>
    <xf numFmtId="0" fontId="83" fillId="48" borderId="0" xfId="475" applyFont="1" applyFill="1" applyBorder="1" applyAlignment="1">
      <alignment horizontal="right"/>
      <protection/>
    </xf>
    <xf numFmtId="0" fontId="83" fillId="48" borderId="35" xfId="475" applyFont="1" applyFill="1" applyBorder="1">
      <alignment/>
      <protection/>
    </xf>
    <xf numFmtId="3" fontId="83" fillId="48" borderId="14" xfId="475" applyNumberFormat="1" applyFont="1" applyFill="1" applyBorder="1">
      <alignment/>
      <protection/>
    </xf>
    <xf numFmtId="3" fontId="83" fillId="48" borderId="25" xfId="475" applyNumberFormat="1" applyFont="1" applyFill="1" applyBorder="1">
      <alignment/>
      <protection/>
    </xf>
    <xf numFmtId="0" fontId="83" fillId="48" borderId="14" xfId="475" applyFont="1" applyFill="1" applyBorder="1" applyAlignment="1" applyProtection="1">
      <alignment horizontal="center"/>
      <protection locked="0"/>
    </xf>
    <xf numFmtId="0" fontId="83" fillId="48" borderId="39" xfId="475" applyFont="1" applyFill="1" applyBorder="1" applyAlignment="1" applyProtection="1">
      <alignment horizontal="center"/>
      <protection locked="0"/>
    </xf>
    <xf numFmtId="37" fontId="4" fillId="41" borderId="16" xfId="0" applyNumberFormat="1" applyFont="1" applyFill="1" applyBorder="1" applyAlignment="1" applyProtection="1">
      <alignment horizontal="left" vertical="center"/>
      <protection/>
    </xf>
    <xf numFmtId="37" fontId="4" fillId="41" borderId="18" xfId="0" applyNumberFormat="1" applyFont="1" applyFill="1" applyBorder="1" applyAlignment="1" applyProtection="1">
      <alignment horizontal="left" vertical="center"/>
      <protection/>
    </xf>
    <xf numFmtId="0" fontId="4" fillId="41" borderId="19" xfId="0" applyFont="1" applyFill="1" applyBorder="1" applyAlignment="1" applyProtection="1">
      <alignment vertical="center"/>
      <protection/>
    </xf>
    <xf numFmtId="0" fontId="4" fillId="41" borderId="16" xfId="0" applyFont="1" applyFill="1" applyBorder="1" applyAlignment="1" applyProtection="1">
      <alignment vertical="center"/>
      <protection/>
    </xf>
    <xf numFmtId="0" fontId="4" fillId="41" borderId="18" xfId="0" applyFont="1" applyFill="1" applyBorder="1" applyAlignment="1" applyProtection="1">
      <alignment vertical="center"/>
      <protection/>
    </xf>
    <xf numFmtId="0" fontId="4" fillId="41" borderId="22" xfId="0" applyFont="1" applyFill="1" applyBorder="1" applyAlignment="1" applyProtection="1">
      <alignment vertical="center"/>
      <protection/>
    </xf>
    <xf numFmtId="0" fontId="4" fillId="41" borderId="23" xfId="0" applyFont="1" applyFill="1" applyBorder="1" applyAlignment="1" applyProtection="1">
      <alignment vertical="center"/>
      <protection/>
    </xf>
    <xf numFmtId="0" fontId="5" fillId="40" borderId="22" xfId="0" applyFont="1" applyFill="1" applyBorder="1" applyAlignment="1" applyProtection="1">
      <alignment horizontal="left" vertical="center"/>
      <protection/>
    </xf>
    <xf numFmtId="0" fontId="4" fillId="40" borderId="25" xfId="0" applyFont="1" applyFill="1" applyBorder="1" applyAlignment="1" applyProtection="1">
      <alignment vertical="center"/>
      <protection/>
    </xf>
    <xf numFmtId="0" fontId="4" fillId="40" borderId="23" xfId="0" applyFont="1" applyFill="1" applyBorder="1" applyAlignment="1" applyProtection="1">
      <alignment vertical="center"/>
      <protection/>
    </xf>
    <xf numFmtId="37" fontId="5" fillId="41" borderId="22" xfId="0" applyNumberFormat="1" applyFont="1" applyFill="1" applyBorder="1" applyAlignment="1" applyProtection="1">
      <alignment horizontal="left" vertical="center"/>
      <protection/>
    </xf>
    <xf numFmtId="3" fontId="4" fillId="41" borderId="23" xfId="0" applyNumberFormat="1" applyFont="1" applyFill="1" applyBorder="1" applyAlignment="1" applyProtection="1">
      <alignment vertical="center"/>
      <protection/>
    </xf>
    <xf numFmtId="0" fontId="4" fillId="35" borderId="0" xfId="0" applyFont="1" applyFill="1" applyAlignment="1" applyProtection="1">
      <alignment horizontal="center" vertical="center"/>
      <protection locked="0"/>
    </xf>
    <xf numFmtId="165" fontId="4" fillId="38" borderId="0" xfId="0" applyNumberFormat="1" applyFont="1" applyFill="1" applyAlignment="1" applyProtection="1">
      <alignment horizontal="center" vertical="center"/>
      <protection locked="0"/>
    </xf>
    <xf numFmtId="188" fontId="31" fillId="33" borderId="0" xfId="0" applyNumberFormat="1" applyFont="1" applyFill="1" applyAlignment="1">
      <alignment horizontal="center"/>
    </xf>
    <xf numFmtId="188" fontId="31" fillId="33" borderId="14" xfId="0" applyNumberFormat="1" applyFont="1" applyFill="1" applyBorder="1" applyAlignment="1">
      <alignment horizontal="center"/>
    </xf>
    <xf numFmtId="188" fontId="31" fillId="33" borderId="0" xfId="0" applyNumberFormat="1" applyFont="1" applyFill="1" applyAlignment="1">
      <alignment/>
    </xf>
    <xf numFmtId="0" fontId="4" fillId="33" borderId="11" xfId="0" applyFont="1" applyFill="1" applyBorder="1" applyAlignment="1" applyProtection="1">
      <alignment vertical="center"/>
      <protection/>
    </xf>
    <xf numFmtId="0" fontId="4" fillId="45" borderId="19" xfId="0" applyFont="1" applyFill="1" applyBorder="1" applyAlignment="1" applyProtection="1">
      <alignment vertical="center"/>
      <protection/>
    </xf>
    <xf numFmtId="37" fontId="5" fillId="45" borderId="18" xfId="0" applyNumberFormat="1" applyFont="1" applyFill="1" applyBorder="1" applyAlignment="1" applyProtection="1">
      <alignment horizontal="left" vertical="center"/>
      <protection/>
    </xf>
    <xf numFmtId="0" fontId="4" fillId="45" borderId="24" xfId="0" applyFont="1" applyFill="1" applyBorder="1" applyAlignment="1" applyProtection="1">
      <alignment vertical="center"/>
      <protection/>
    </xf>
    <xf numFmtId="37" fontId="5" fillId="45" borderId="20" xfId="0" applyNumberFormat="1" applyFont="1" applyFill="1" applyBorder="1" applyAlignment="1" applyProtection="1">
      <alignment horizontal="left" vertical="center"/>
      <protection/>
    </xf>
    <xf numFmtId="0" fontId="4" fillId="41" borderId="17" xfId="0" applyFont="1" applyFill="1" applyBorder="1" applyAlignment="1" applyProtection="1">
      <alignment vertical="center"/>
      <protection/>
    </xf>
    <xf numFmtId="0" fontId="5" fillId="41" borderId="16" xfId="0" applyFont="1" applyFill="1" applyBorder="1" applyAlignment="1" applyProtection="1">
      <alignment vertical="center"/>
      <protection/>
    </xf>
    <xf numFmtId="188" fontId="4" fillId="39" borderId="19" xfId="0" applyNumberFormat="1" applyFont="1" applyFill="1" applyBorder="1" applyAlignment="1" applyProtection="1">
      <alignment horizontal="center"/>
      <protection/>
    </xf>
    <xf numFmtId="37" fontId="5" fillId="33" borderId="0" xfId="0" applyNumberFormat="1" applyFont="1" applyFill="1" applyBorder="1" applyAlignment="1" applyProtection="1">
      <alignment horizontal="center" vertical="center"/>
      <protection/>
    </xf>
    <xf numFmtId="168" fontId="4" fillId="43" borderId="0" xfId="0" applyNumberFormat="1" applyFont="1" applyFill="1" applyBorder="1" applyAlignment="1" applyProtection="1">
      <alignment vertical="center"/>
      <protection/>
    </xf>
    <xf numFmtId="168" fontId="4" fillId="43" borderId="14" xfId="0" applyNumberFormat="1" applyFont="1" applyFill="1" applyBorder="1" applyAlignment="1" applyProtection="1">
      <alignment vertical="center"/>
      <protection/>
    </xf>
    <xf numFmtId="166" fontId="4" fillId="43" borderId="0" xfId="0" applyNumberFormat="1" applyFont="1" applyFill="1" applyBorder="1" applyAlignment="1" applyProtection="1">
      <alignment vertical="center"/>
      <protection/>
    </xf>
    <xf numFmtId="0" fontId="4" fillId="43" borderId="0" xfId="0" applyFont="1" applyFill="1" applyAlignment="1" applyProtection="1">
      <alignment horizontal="left" vertical="center"/>
      <protection/>
    </xf>
    <xf numFmtId="166" fontId="4" fillId="43" borderId="14" xfId="0" applyNumberFormat="1" applyFont="1" applyFill="1" applyBorder="1" applyAlignment="1" applyProtection="1">
      <alignment vertical="center"/>
      <protection/>
    </xf>
    <xf numFmtId="0" fontId="4" fillId="43" borderId="0" xfId="0" applyFont="1" applyFill="1" applyAlignment="1" applyProtection="1">
      <alignment horizontal="right" vertical="center"/>
      <protection/>
    </xf>
    <xf numFmtId="0" fontId="4" fillId="43" borderId="0" xfId="0" applyFont="1" applyFill="1" applyAlignment="1" applyProtection="1">
      <alignment vertical="center"/>
      <protection/>
    </xf>
    <xf numFmtId="37" fontId="4" fillId="33" borderId="11" xfId="93" applyNumberFormat="1" applyFont="1" applyFill="1" applyBorder="1" applyAlignment="1" applyProtection="1">
      <alignment horizontal="center" vertical="center"/>
      <protection/>
    </xf>
    <xf numFmtId="0" fontId="4" fillId="43" borderId="0" xfId="93" applyFont="1" applyFill="1" applyAlignment="1" applyProtection="1">
      <alignment vertical="center"/>
      <protection/>
    </xf>
    <xf numFmtId="37" fontId="4" fillId="33" borderId="0" xfId="93" applyNumberFormat="1" applyFont="1" applyFill="1" applyAlignment="1" applyProtection="1">
      <alignment horizontal="left" vertical="center"/>
      <protection/>
    </xf>
    <xf numFmtId="168" fontId="4" fillId="43" borderId="0" xfId="93" applyNumberFormat="1" applyFont="1" applyFill="1" applyBorder="1" applyAlignment="1" applyProtection="1">
      <alignment vertical="center"/>
      <protection/>
    </xf>
    <xf numFmtId="0" fontId="4" fillId="33" borderId="0" xfId="93" applyFont="1" applyFill="1" applyAlignment="1" applyProtection="1">
      <alignment vertical="center"/>
      <protection locked="0"/>
    </xf>
    <xf numFmtId="165" fontId="4" fillId="33" borderId="22" xfId="0" applyNumberFormat="1" applyFont="1" applyFill="1" applyBorder="1" applyAlignment="1" applyProtection="1">
      <alignment horizontal="center" vertical="center"/>
      <protection/>
    </xf>
    <xf numFmtId="0" fontId="41" fillId="39" borderId="23" xfId="0" applyFont="1" applyFill="1" applyBorder="1" applyAlignment="1" applyProtection="1">
      <alignment horizontal="center" vertical="center"/>
      <protection/>
    </xf>
    <xf numFmtId="0" fontId="4" fillId="43" borderId="21" xfId="0" applyFont="1" applyFill="1" applyBorder="1" applyAlignment="1" applyProtection="1">
      <alignment vertical="center"/>
      <protection locked="0"/>
    </xf>
    <xf numFmtId="0" fontId="4" fillId="43" borderId="21" xfId="0" applyFont="1" applyFill="1" applyBorder="1" applyAlignment="1">
      <alignment vertical="center"/>
    </xf>
    <xf numFmtId="187" fontId="8" fillId="43" borderId="20" xfId="0" applyNumberFormat="1"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187" fontId="8" fillId="43" borderId="18" xfId="0" applyNumberFormat="1" applyFont="1" applyFill="1" applyBorder="1" applyAlignment="1" applyProtection="1">
      <alignment horizontal="left" vertical="center"/>
      <protection/>
    </xf>
    <xf numFmtId="0" fontId="8" fillId="43" borderId="14" xfId="0" applyFont="1" applyFill="1" applyBorder="1" applyAlignment="1" applyProtection="1">
      <alignment vertical="center"/>
      <protection/>
    </xf>
    <xf numFmtId="3" fontId="8" fillId="43" borderId="24" xfId="0" applyNumberFormat="1" applyFont="1" applyFill="1" applyBorder="1" applyAlignment="1" applyProtection="1">
      <alignment vertical="center"/>
      <protection/>
    </xf>
    <xf numFmtId="3" fontId="8" fillId="43" borderId="19" xfId="0" applyNumberFormat="1" applyFont="1" applyFill="1" applyBorder="1" applyAlignment="1" applyProtection="1">
      <alignment vertical="center"/>
      <protection/>
    </xf>
    <xf numFmtId="0" fontId="8" fillId="43" borderId="20" xfId="0" applyFont="1" applyFill="1" applyBorder="1" applyAlignment="1" applyProtection="1">
      <alignment horizontal="left" vertical="center"/>
      <protection locked="0"/>
    </xf>
    <xf numFmtId="0" fontId="8" fillId="43" borderId="0" xfId="0" applyFont="1" applyFill="1" applyBorder="1" applyAlignment="1" applyProtection="1">
      <alignment vertical="center"/>
      <protection locked="0"/>
    </xf>
    <xf numFmtId="3" fontId="8" fillId="43" borderId="24" xfId="0" applyNumberFormat="1" applyFont="1" applyFill="1" applyBorder="1" applyAlignment="1" applyProtection="1">
      <alignment vertical="center"/>
      <protection locked="0"/>
    </xf>
    <xf numFmtId="0" fontId="8" fillId="43" borderId="18" xfId="0" applyFont="1" applyFill="1" applyBorder="1" applyAlignment="1" applyProtection="1">
      <alignment horizontal="left" vertical="center"/>
      <protection locked="0"/>
    </xf>
    <xf numFmtId="0" fontId="8" fillId="43" borderId="14" xfId="0" applyFont="1" applyFill="1" applyBorder="1" applyAlignment="1" applyProtection="1">
      <alignment vertical="center"/>
      <protection locked="0"/>
    </xf>
    <xf numFmtId="3" fontId="8" fillId="43" borderId="19" xfId="0" applyNumberFormat="1" applyFont="1" applyFill="1" applyBorder="1" applyAlignment="1" applyProtection="1">
      <alignment vertical="center"/>
      <protection locked="0"/>
    </xf>
    <xf numFmtId="0" fontId="8" fillId="43" borderId="20" xfId="0" applyFont="1" applyFill="1" applyBorder="1" applyAlignment="1">
      <alignment horizontal="left" vertical="center"/>
    </xf>
    <xf numFmtId="0" fontId="8" fillId="43" borderId="0" xfId="0" applyFont="1" applyFill="1" applyBorder="1" applyAlignment="1">
      <alignment vertical="center"/>
    </xf>
    <xf numFmtId="3" fontId="8" fillId="43" borderId="24" xfId="0" applyNumberFormat="1" applyFont="1" applyFill="1" applyBorder="1" applyAlignment="1">
      <alignment vertical="center"/>
    </xf>
    <xf numFmtId="0" fontId="8" fillId="43" borderId="18" xfId="0" applyFont="1" applyFill="1" applyBorder="1" applyAlignment="1">
      <alignment horizontal="left" vertical="center"/>
    </xf>
    <xf numFmtId="0" fontId="8" fillId="43" borderId="14" xfId="0" applyFont="1" applyFill="1" applyBorder="1" applyAlignment="1">
      <alignment vertical="center"/>
    </xf>
    <xf numFmtId="3" fontId="8" fillId="43" borderId="19" xfId="0" applyNumberFormat="1" applyFont="1" applyFill="1" applyBorder="1" applyAlignment="1">
      <alignment vertical="center"/>
    </xf>
    <xf numFmtId="0" fontId="4" fillId="0" borderId="0" xfId="93" applyFont="1">
      <alignment/>
      <protection/>
    </xf>
    <xf numFmtId="0" fontId="6" fillId="0" borderId="0" xfId="93" applyFont="1">
      <alignment/>
      <protection/>
    </xf>
    <xf numFmtId="0" fontId="91" fillId="43" borderId="17" xfId="0" applyFont="1" applyFill="1" applyBorder="1" applyAlignment="1">
      <alignment horizontal="center" vertical="center"/>
    </xf>
    <xf numFmtId="0" fontId="5" fillId="43" borderId="21" xfId="0" applyFont="1" applyFill="1" applyBorder="1" applyAlignment="1">
      <alignment horizontal="centerContinuous" vertical="center"/>
    </xf>
    <xf numFmtId="0" fontId="68" fillId="48" borderId="0" xfId="475" applyFill="1">
      <alignment/>
      <protection/>
    </xf>
    <xf numFmtId="0" fontId="83" fillId="48" borderId="0" xfId="475" applyFont="1" applyFill="1" applyBorder="1">
      <alignment/>
      <protection/>
    </xf>
    <xf numFmtId="0" fontId="83" fillId="48" borderId="32" xfId="475" applyFont="1" applyFill="1" applyBorder="1">
      <alignment/>
      <protection/>
    </xf>
    <xf numFmtId="0" fontId="83" fillId="48" borderId="36" xfId="475" applyFont="1" applyFill="1" applyBorder="1">
      <alignment/>
      <protection/>
    </xf>
    <xf numFmtId="0" fontId="83" fillId="48" borderId="34" xfId="475" applyFont="1" applyFill="1" applyBorder="1">
      <alignment/>
      <protection/>
    </xf>
    <xf numFmtId="0" fontId="83" fillId="48" borderId="0" xfId="475" applyFont="1" applyFill="1" applyBorder="1" applyAlignment="1">
      <alignment horizontal="center"/>
      <protection/>
    </xf>
    <xf numFmtId="0" fontId="83" fillId="48" borderId="0" xfId="475" applyFont="1" applyFill="1" applyBorder="1" applyAlignment="1">
      <alignment horizontal="right"/>
      <protection/>
    </xf>
    <xf numFmtId="0" fontId="83" fillId="48" borderId="35" xfId="475" applyFont="1" applyFill="1" applyBorder="1">
      <alignment/>
      <protection/>
    </xf>
    <xf numFmtId="3" fontId="83" fillId="48" borderId="14" xfId="475" applyNumberFormat="1" applyFont="1" applyFill="1" applyBorder="1">
      <alignment/>
      <protection/>
    </xf>
    <xf numFmtId="3" fontId="83" fillId="48" borderId="25" xfId="475" applyNumberFormat="1" applyFont="1" applyFill="1" applyBorder="1">
      <alignment/>
      <protection/>
    </xf>
    <xf numFmtId="0" fontId="83" fillId="48" borderId="14" xfId="475" applyFont="1" applyFill="1" applyBorder="1" applyAlignment="1" applyProtection="1">
      <alignment horizontal="center"/>
      <protection locked="0"/>
    </xf>
    <xf numFmtId="0" fontId="83" fillId="48" borderId="39" xfId="475" applyFont="1" applyFill="1" applyBorder="1" applyAlignment="1" applyProtection="1">
      <alignment horizontal="center"/>
      <protection locked="0"/>
    </xf>
    <xf numFmtId="0" fontId="83" fillId="48" borderId="36" xfId="475" applyFont="1" applyFill="1" applyBorder="1" applyAlignment="1">
      <alignment horizontal="center"/>
      <protection/>
    </xf>
    <xf numFmtId="0" fontId="83" fillId="48" borderId="32" xfId="475" applyFont="1" applyFill="1" applyBorder="1" applyAlignment="1">
      <alignment horizontal="center"/>
      <protection/>
    </xf>
    <xf numFmtId="0" fontId="83" fillId="48" borderId="0" xfId="475" applyFont="1" applyFill="1" applyBorder="1" applyAlignment="1" applyProtection="1">
      <alignment horizontal="center"/>
      <protection locked="0"/>
    </xf>
    <xf numFmtId="0" fontId="83" fillId="48" borderId="32" xfId="475" applyFont="1" applyFill="1" applyBorder="1" applyAlignment="1" applyProtection="1">
      <alignment horizontal="center"/>
      <protection locked="0"/>
    </xf>
    <xf numFmtId="3" fontId="83" fillId="48" borderId="0" xfId="475" applyNumberFormat="1" applyFont="1" applyFill="1" applyBorder="1">
      <alignment/>
      <protection/>
    </xf>
    <xf numFmtId="0" fontId="35" fillId="43" borderId="16" xfId="256" applyFont="1" applyFill="1" applyBorder="1" applyAlignment="1">
      <alignment horizontal="left" vertical="center"/>
      <protection/>
    </xf>
    <xf numFmtId="0" fontId="47" fillId="0" borderId="0" xfId="0" applyFont="1" applyAlignment="1">
      <alignment horizontal="left"/>
    </xf>
    <xf numFmtId="0" fontId="45" fillId="0" borderId="0" xfId="0" applyFont="1" applyAlignment="1">
      <alignment/>
    </xf>
    <xf numFmtId="0" fontId="92" fillId="48" borderId="0" xfId="475" applyFont="1" applyFill="1" applyBorder="1" applyAlignment="1">
      <alignment horizontal="center"/>
      <protection/>
    </xf>
    <xf numFmtId="0" fontId="83" fillId="48" borderId="33" xfId="475" applyFont="1" applyFill="1" applyBorder="1">
      <alignment/>
      <protection/>
    </xf>
    <xf numFmtId="182" fontId="83" fillId="48" borderId="0" xfId="475" applyNumberFormat="1" applyFont="1" applyFill="1" applyBorder="1">
      <alignment/>
      <protection/>
    </xf>
    <xf numFmtId="0" fontId="92" fillId="48" borderId="0" xfId="475" applyFont="1" applyFill="1" applyBorder="1" applyAlignment="1">
      <alignment horizontal="center"/>
      <protection/>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right" vertical="center" wrapText="1"/>
    </xf>
    <xf numFmtId="0" fontId="45" fillId="0" borderId="0" xfId="93" applyFont="1" applyAlignment="1">
      <alignment horizontal="right" vertical="center" wrapText="1"/>
      <protection/>
    </xf>
    <xf numFmtId="37" fontId="4" fillId="41" borderId="10" xfId="0" applyNumberFormat="1" applyFont="1" applyFill="1" applyBorder="1" applyAlignment="1" applyProtection="1">
      <alignment horizontal="center" vertical="center" wrapText="1"/>
      <protection/>
    </xf>
    <xf numFmtId="0" fontId="0" fillId="41" borderId="11" xfId="0" applyFill="1" applyBorder="1" applyAlignment="1">
      <alignment vertical="center" wrapText="1"/>
    </xf>
    <xf numFmtId="37" fontId="15" fillId="33"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33" borderId="0" xfId="0" applyFont="1" applyFill="1" applyAlignment="1" applyProtection="1">
      <alignment horizontal="center" vertical="center"/>
      <protection/>
    </xf>
    <xf numFmtId="0" fontId="1" fillId="0" borderId="0" xfId="0" applyFont="1" applyAlignment="1">
      <alignment horizontal="center" vertical="center"/>
    </xf>
    <xf numFmtId="0" fontId="4" fillId="41" borderId="10" xfId="0" applyFont="1" applyFill="1" applyBorder="1" applyAlignment="1" applyProtection="1">
      <alignment horizontal="center" vertical="center" wrapText="1"/>
      <protection/>
    </xf>
    <xf numFmtId="0" fontId="4" fillId="41" borderId="11" xfId="0" applyFont="1" applyFill="1" applyBorder="1" applyAlignment="1" applyProtection="1">
      <alignment horizontal="center" vertical="center" wrapText="1"/>
      <protection/>
    </xf>
    <xf numFmtId="37" fontId="5" fillId="33" borderId="0" xfId="93" applyNumberFormat="1" applyFont="1" applyFill="1" applyAlignment="1" applyProtection="1">
      <alignment vertical="center" wrapText="1"/>
      <protection/>
    </xf>
    <xf numFmtId="0" fontId="4" fillId="33" borderId="16" xfId="93" applyFont="1" applyFill="1" applyBorder="1" applyAlignment="1" applyProtection="1">
      <alignment vertical="center" wrapText="1"/>
      <protection/>
    </xf>
    <xf numFmtId="0" fontId="0" fillId="0" borderId="17" xfId="93" applyBorder="1" applyAlignment="1">
      <alignment vertical="center" wrapText="1"/>
      <protection/>
    </xf>
    <xf numFmtId="0" fontId="0" fillId="0" borderId="20" xfId="93" applyBorder="1" applyAlignment="1">
      <alignment vertical="center" wrapText="1"/>
      <protection/>
    </xf>
    <xf numFmtId="0" fontId="0" fillId="0" borderId="24" xfId="93" applyBorder="1" applyAlignment="1">
      <alignment vertical="center" wrapText="1"/>
      <protection/>
    </xf>
    <xf numFmtId="0" fontId="0" fillId="0" borderId="18" xfId="93" applyBorder="1" applyAlignment="1">
      <alignment vertical="center" wrapText="1"/>
      <protection/>
    </xf>
    <xf numFmtId="0" fontId="0" fillId="0" borderId="19" xfId="93" applyBorder="1" applyAlignment="1">
      <alignment vertical="center" wrapText="1"/>
      <protection/>
    </xf>
    <xf numFmtId="37" fontId="14" fillId="33"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40" borderId="22" xfId="0" applyFont="1" applyFill="1" applyBorder="1" applyAlignment="1">
      <alignment horizontal="center" vertical="center"/>
    </xf>
    <xf numFmtId="0" fontId="1" fillId="40" borderId="23" xfId="0" applyFont="1" applyFill="1" applyBorder="1" applyAlignment="1">
      <alignment horizontal="center" vertical="center"/>
    </xf>
    <xf numFmtId="0" fontId="18" fillId="33" borderId="0" xfId="0" applyFont="1" applyFill="1" applyBorder="1" applyAlignment="1">
      <alignment vertical="center"/>
    </xf>
    <xf numFmtId="0" fontId="19" fillId="0" borderId="0" xfId="0" applyFont="1" applyAlignment="1">
      <alignment vertical="center"/>
    </xf>
    <xf numFmtId="0" fontId="4" fillId="0" borderId="0" xfId="603" applyFont="1" applyAlignment="1">
      <alignment horizontal="left" vertical="center" wrapText="1"/>
      <protection/>
    </xf>
    <xf numFmtId="0" fontId="10" fillId="0" borderId="0" xfId="603" applyFont="1" applyAlignment="1">
      <alignment horizontal="left" vertical="center" wrapText="1"/>
      <protection/>
    </xf>
    <xf numFmtId="0" fontId="14" fillId="0" borderId="0" xfId="603" applyFont="1" applyAlignment="1">
      <alignment horizontal="left" vertical="center"/>
      <protection/>
    </xf>
    <xf numFmtId="0" fontId="4" fillId="38" borderId="25" xfId="0" applyFont="1" applyFill="1" applyBorder="1" applyAlignment="1" applyProtection="1">
      <alignment vertical="center"/>
      <protection locked="0"/>
    </xf>
    <xf numFmtId="0" fontId="0" fillId="38" borderId="25" xfId="0" applyFill="1" applyBorder="1" applyAlignment="1" applyProtection="1">
      <alignment vertical="center"/>
      <protection locked="0"/>
    </xf>
    <xf numFmtId="0" fontId="4" fillId="38" borderId="25" xfId="0" applyFont="1" applyFill="1" applyBorder="1" applyAlignment="1" applyProtection="1">
      <alignment horizontal="left" vertical="center"/>
      <protection locked="0"/>
    </xf>
    <xf numFmtId="0" fontId="4" fillId="33" borderId="14"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38" borderId="14" xfId="0" applyFont="1" applyFill="1" applyBorder="1" applyAlignment="1" applyProtection="1">
      <alignment vertical="center"/>
      <protection locked="0"/>
    </xf>
    <xf numFmtId="0" fontId="0" fillId="38" borderId="14" xfId="0" applyFill="1" applyBorder="1" applyAlignment="1" applyProtection="1">
      <alignment vertical="center"/>
      <protection locked="0"/>
    </xf>
    <xf numFmtId="0" fontId="8" fillId="39" borderId="22" xfId="0" applyFont="1" applyFill="1" applyBorder="1" applyAlignment="1">
      <alignment vertical="center"/>
    </xf>
    <xf numFmtId="0" fontId="17" fillId="39" borderId="25" xfId="0" applyFont="1" applyFill="1" applyBorder="1" applyAlignment="1">
      <alignment vertical="center"/>
    </xf>
    <xf numFmtId="0" fontId="17" fillId="39" borderId="23" xfId="0" applyFont="1" applyFill="1" applyBorder="1" applyAlignment="1">
      <alignment vertical="center"/>
    </xf>
    <xf numFmtId="0" fontId="9" fillId="47"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0" fillId="0" borderId="25" xfId="0" applyBorder="1" applyAlignment="1">
      <alignment vertical="center"/>
    </xf>
    <xf numFmtId="0" fontId="0" fillId="0" borderId="23" xfId="0" applyBorder="1" applyAlignment="1">
      <alignment vertical="center"/>
    </xf>
    <xf numFmtId="0" fontId="4" fillId="33"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45" borderId="10" xfId="0" applyFont="1" applyFill="1" applyBorder="1" applyAlignment="1" applyProtection="1">
      <alignment horizontal="center" vertical="center" wrapText="1"/>
      <protection/>
    </xf>
    <xf numFmtId="0" fontId="0" fillId="45" borderId="11" xfId="0" applyFill="1" applyBorder="1" applyAlignment="1">
      <alignment horizontal="center" vertical="center" wrapText="1"/>
    </xf>
    <xf numFmtId="0" fontId="4" fillId="33" borderId="0" xfId="0" applyFont="1" applyFill="1" applyAlignment="1" applyProtection="1">
      <alignment horizontal="center" vertical="center"/>
      <protection/>
    </xf>
    <xf numFmtId="0" fontId="0" fillId="0" borderId="0" xfId="0" applyAlignment="1">
      <alignment vertical="center"/>
    </xf>
    <xf numFmtId="37" fontId="5" fillId="33" borderId="0" xfId="0" applyNumberFormat="1" applyFont="1" applyFill="1" applyAlignment="1" applyProtection="1">
      <alignment horizontal="center" vertical="center"/>
      <protection/>
    </xf>
    <xf numFmtId="0" fontId="4" fillId="33" borderId="0" xfId="93" applyFont="1" applyFill="1" applyAlignment="1">
      <alignment horizontal="center" vertical="center"/>
      <protection/>
    </xf>
    <xf numFmtId="0" fontId="4" fillId="33" borderId="0" xfId="93" applyFont="1" applyFill="1" applyAlignment="1" applyProtection="1">
      <alignment horizontal="center" vertical="center" wrapText="1"/>
      <protection/>
    </xf>
    <xf numFmtId="0" fontId="4" fillId="33" borderId="0" xfId="93" applyFont="1" applyFill="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37" fontId="4" fillId="33" borderId="10" xfId="0"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3" xfId="0" applyBorder="1" applyAlignment="1">
      <alignment horizontal="center" vertical="center"/>
    </xf>
    <xf numFmtId="37" fontId="5" fillId="33" borderId="0" xfId="93" applyNumberFormat="1" applyFont="1" applyFill="1" applyAlignment="1" applyProtection="1">
      <alignment horizontal="center" vertical="center"/>
      <protection/>
    </xf>
    <xf numFmtId="0" fontId="5" fillId="33" borderId="0" xfId="646" applyFont="1" applyFill="1" applyAlignment="1" applyProtection="1">
      <alignment horizontal="center" vertical="center"/>
      <protection/>
    </xf>
    <xf numFmtId="183" fontId="34" fillId="0" borderId="0" xfId="0" applyNumberFormat="1" applyFont="1" applyFill="1" applyBorder="1" applyAlignment="1" applyProtection="1">
      <alignment horizontal="center"/>
      <protection/>
    </xf>
    <xf numFmtId="0" fontId="16" fillId="0" borderId="0" xfId="0" applyFont="1" applyFill="1" applyBorder="1" applyAlignment="1">
      <alignment/>
    </xf>
    <xf numFmtId="0" fontId="34" fillId="33" borderId="16" xfId="0" applyFont="1" applyFill="1" applyBorder="1" applyAlignment="1" applyProtection="1">
      <alignment horizontal="center" vertical="center"/>
      <protection/>
    </xf>
    <xf numFmtId="0" fontId="0" fillId="0" borderId="21" xfId="0" applyBorder="1" applyAlignment="1">
      <alignment vertical="center"/>
    </xf>
    <xf numFmtId="0" fontId="0" fillId="0" borderId="17" xfId="0" applyBorder="1" applyAlignment="1">
      <alignment vertical="center"/>
    </xf>
    <xf numFmtId="183" fontId="34" fillId="33" borderId="16" xfId="0" applyNumberFormat="1" applyFont="1" applyFill="1" applyBorder="1" applyAlignment="1" applyProtection="1">
      <alignment horizontal="center"/>
      <protection/>
    </xf>
    <xf numFmtId="0" fontId="16" fillId="0" borderId="21" xfId="0" applyFont="1" applyBorder="1" applyAlignment="1">
      <alignment/>
    </xf>
    <xf numFmtId="0" fontId="16" fillId="0" borderId="17" xfId="0" applyFont="1" applyBorder="1" applyAlignment="1">
      <alignment/>
    </xf>
    <xf numFmtId="3" fontId="4" fillId="33" borderId="21" xfId="131" applyNumberFormat="1" applyFont="1" applyFill="1" applyBorder="1" applyAlignment="1" applyProtection="1">
      <alignment horizontal="right" vertical="center"/>
      <protection/>
    </xf>
    <xf numFmtId="0" fontId="0" fillId="0" borderId="17" xfId="131" applyBorder="1" applyAlignment="1">
      <alignment horizontal="right" vertical="center"/>
      <protection/>
    </xf>
    <xf numFmtId="0" fontId="4" fillId="33" borderId="0" xfId="131" applyFont="1" applyFill="1" applyAlignment="1" applyProtection="1">
      <alignment horizontal="right" vertical="center"/>
      <protection/>
    </xf>
    <xf numFmtId="0" fontId="4" fillId="0" borderId="24" xfId="131" applyFont="1" applyBorder="1" applyAlignment="1">
      <alignment horizontal="right" vertical="center"/>
      <protection/>
    </xf>
    <xf numFmtId="0" fontId="4" fillId="33" borderId="0" xfId="71" applyNumberFormat="1" applyFont="1" applyFill="1" applyBorder="1" applyAlignment="1" applyProtection="1">
      <alignment horizontal="right" vertical="center"/>
      <protection/>
    </xf>
    <xf numFmtId="0" fontId="4" fillId="0" borderId="0" xfId="71" applyFont="1" applyAlignment="1" applyProtection="1">
      <alignment horizontal="right" vertical="center"/>
      <protection/>
    </xf>
    <xf numFmtId="0" fontId="0" fillId="0" borderId="21" xfId="0" applyBorder="1" applyAlignment="1">
      <alignment horizontal="center" vertical="center"/>
    </xf>
    <xf numFmtId="0" fontId="0" fillId="0" borderId="17" xfId="0" applyBorder="1" applyAlignment="1">
      <alignment/>
    </xf>
    <xf numFmtId="0" fontId="17" fillId="0" borderId="21" xfId="0" applyFont="1" applyBorder="1" applyAlignment="1">
      <alignment horizontal="center"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49" fontId="4" fillId="33" borderId="21" xfId="0" applyNumberFormat="1" applyFont="1" applyFill="1" applyBorder="1" applyAlignment="1" applyProtection="1">
      <alignment horizontal="center" vertical="center"/>
      <protection locked="0"/>
    </xf>
    <xf numFmtId="37" fontId="4" fillId="43" borderId="0" xfId="183" applyNumberFormat="1" applyFont="1" applyFill="1" applyAlignment="1" applyProtection="1">
      <alignment horizontal="center" vertical="center"/>
      <protection/>
    </xf>
    <xf numFmtId="0" fontId="14" fillId="43" borderId="16" xfId="0" applyFont="1" applyFill="1" applyBorder="1" applyAlignment="1" applyProtection="1">
      <alignment horizontal="center"/>
      <protection/>
    </xf>
    <xf numFmtId="0" fontId="0" fillId="0" borderId="21" xfId="0" applyBorder="1" applyAlignment="1">
      <alignment horizontal="center"/>
    </xf>
    <xf numFmtId="0" fontId="0" fillId="0" borderId="17" xfId="0" applyBorder="1" applyAlignment="1">
      <alignment horizontal="center"/>
    </xf>
    <xf numFmtId="0" fontId="0" fillId="0" borderId="21" xfId="0" applyBorder="1" applyAlignment="1" applyProtection="1">
      <alignment horizontal="center"/>
      <protection/>
    </xf>
    <xf numFmtId="0" fontId="0" fillId="0" borderId="17" xfId="0" applyBorder="1" applyAlignment="1" applyProtection="1">
      <alignment horizontal="center"/>
      <protection/>
    </xf>
    <xf numFmtId="0" fontId="14" fillId="43" borderId="21" xfId="0" applyFont="1" applyFill="1" applyBorder="1" applyAlignment="1" applyProtection="1">
      <alignment horizontal="center"/>
      <protection/>
    </xf>
    <xf numFmtId="0" fontId="14" fillId="43" borderId="17" xfId="0" applyFont="1" applyFill="1" applyBorder="1" applyAlignment="1" applyProtection="1">
      <alignment horizontal="center"/>
      <protection/>
    </xf>
    <xf numFmtId="49" fontId="4" fillId="33" borderId="14" xfId="0" applyNumberFormat="1" applyFont="1" applyFill="1" applyBorder="1" applyAlignment="1" applyProtection="1">
      <alignment horizontal="center" vertical="center"/>
      <protection locked="0"/>
    </xf>
    <xf numFmtId="0" fontId="8" fillId="33"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0" fontId="5" fillId="33" borderId="40" xfId="204" applyFont="1" applyFill="1" applyBorder="1" applyAlignment="1" applyProtection="1">
      <alignment horizontal="center" vertical="center"/>
      <protection/>
    </xf>
    <xf numFmtId="0" fontId="5" fillId="33" borderId="41" xfId="204" applyFont="1" applyFill="1" applyBorder="1" applyAlignment="1" applyProtection="1">
      <alignment horizontal="center" vertical="center"/>
      <protection/>
    </xf>
    <xf numFmtId="0" fontId="5" fillId="33" borderId="42" xfId="204" applyFont="1" applyFill="1" applyBorder="1" applyAlignment="1" applyProtection="1">
      <alignment horizontal="center" vertical="center"/>
      <protection/>
    </xf>
    <xf numFmtId="37" fontId="5" fillId="33" borderId="40" xfId="204" applyNumberFormat="1" applyFont="1" applyFill="1" applyBorder="1" applyAlignment="1" applyProtection="1">
      <alignment horizontal="center" vertical="center"/>
      <protection/>
    </xf>
    <xf numFmtId="0" fontId="1" fillId="0" borderId="41" xfId="204" applyFont="1" applyBorder="1" applyAlignment="1">
      <alignment horizontal="center" vertical="center"/>
      <protection/>
    </xf>
    <xf numFmtId="0" fontId="1" fillId="0" borderId="42" xfId="204" applyFont="1" applyBorder="1" applyAlignment="1">
      <alignment horizontal="center" vertical="center"/>
      <protection/>
    </xf>
    <xf numFmtId="37" fontId="5" fillId="33" borderId="22" xfId="204" applyNumberFormat="1" applyFont="1" applyFill="1" applyBorder="1" applyAlignment="1" applyProtection="1">
      <alignment horizontal="center" vertical="center"/>
      <protection/>
    </xf>
    <xf numFmtId="0" fontId="1" fillId="0" borderId="25" xfId="204" applyFont="1" applyBorder="1" applyAlignment="1">
      <alignment horizontal="center" vertical="center"/>
      <protection/>
    </xf>
    <xf numFmtId="0" fontId="1" fillId="0" borderId="23" xfId="204" applyFont="1" applyBorder="1" applyAlignment="1">
      <alignment horizontal="center" vertical="center"/>
      <protection/>
    </xf>
    <xf numFmtId="0" fontId="21" fillId="33" borderId="0" xfId="204" applyFont="1" applyFill="1" applyAlignment="1" applyProtection="1">
      <alignment horizontal="center" vertical="center"/>
      <protection/>
    </xf>
    <xf numFmtId="0" fontId="2" fillId="0" borderId="0" xfId="204" applyFont="1" applyAlignment="1">
      <alignment horizontal="center" vertical="center"/>
      <protection/>
    </xf>
    <xf numFmtId="0" fontId="2" fillId="0" borderId="0" xfId="204" applyFont="1" applyAlignment="1">
      <alignment vertical="center"/>
      <protection/>
    </xf>
    <xf numFmtId="0" fontId="0" fillId="0" borderId="0" xfId="204" applyAlignment="1">
      <alignment vertical="center"/>
      <protection/>
    </xf>
    <xf numFmtId="0" fontId="5" fillId="33" borderId="0" xfId="204" applyFont="1" applyFill="1" applyAlignment="1" applyProtection="1">
      <alignment horizontal="center" vertical="center"/>
      <protection/>
    </xf>
    <xf numFmtId="0" fontId="0" fillId="0" borderId="0" xfId="204" applyAlignment="1" applyProtection="1">
      <alignment vertical="center"/>
      <protection/>
    </xf>
    <xf numFmtId="0" fontId="4" fillId="33" borderId="0" xfId="204" applyFont="1" applyFill="1" applyAlignment="1" applyProtection="1">
      <alignment horizontal="right" vertical="center"/>
      <protection/>
    </xf>
    <xf numFmtId="0" fontId="0" fillId="0" borderId="0" xfId="204" applyAlignment="1">
      <alignment horizontal="right" vertical="center"/>
      <protection/>
    </xf>
    <xf numFmtId="0" fontId="4" fillId="33" borderId="0" xfId="204" applyFont="1" applyFill="1" applyAlignment="1">
      <alignment horizontal="right" vertical="center"/>
      <protection/>
    </xf>
    <xf numFmtId="0" fontId="4" fillId="33" borderId="22" xfId="204" applyFont="1" applyFill="1" applyBorder="1" applyAlignment="1" applyProtection="1">
      <alignment horizontal="left" vertical="center"/>
      <protection/>
    </xf>
    <xf numFmtId="0" fontId="0" fillId="0" borderId="25" xfId="204" applyFont="1" applyBorder="1" applyAlignment="1" applyProtection="1">
      <alignment horizontal="left" vertical="center"/>
      <protection/>
    </xf>
    <xf numFmtId="0" fontId="0" fillId="0" borderId="23" xfId="204" applyFont="1" applyBorder="1" applyAlignment="1" applyProtection="1">
      <alignment horizontal="left" vertical="center"/>
      <protection/>
    </xf>
    <xf numFmtId="0" fontId="4" fillId="33" borderId="22" xfId="204" applyFont="1" applyFill="1" applyBorder="1" applyAlignment="1" applyProtection="1">
      <alignment vertical="center"/>
      <protection/>
    </xf>
    <xf numFmtId="0" fontId="0" fillId="0" borderId="25" xfId="204" applyBorder="1" applyAlignment="1" applyProtection="1">
      <alignment vertical="center"/>
      <protection/>
    </xf>
    <xf numFmtId="0" fontId="0" fillId="0" borderId="23" xfId="204" applyBorder="1" applyAlignment="1" applyProtection="1">
      <alignment vertic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3" borderId="0" xfId="0" applyFont="1" applyFill="1" applyAlignment="1" applyProtection="1">
      <alignment horizontal="right" vertical="center"/>
      <protection/>
    </xf>
    <xf numFmtId="0" fontId="83" fillId="48" borderId="33" xfId="475" applyFont="1" applyFill="1" applyBorder="1" applyAlignment="1">
      <alignment horizontal="left" vertical="top" wrapText="1"/>
      <protection/>
    </xf>
    <xf numFmtId="0" fontId="83" fillId="48" borderId="34" xfId="475" applyFont="1" applyFill="1" applyBorder="1" applyAlignment="1">
      <alignment horizontal="left" vertical="top" wrapText="1"/>
      <protection/>
    </xf>
    <xf numFmtId="0" fontId="83" fillId="48" borderId="35" xfId="475" applyFont="1" applyFill="1" applyBorder="1" applyAlignment="1">
      <alignment horizontal="left" vertical="top" wrapText="1"/>
      <protection/>
    </xf>
    <xf numFmtId="0" fontId="93" fillId="48" borderId="43" xfId="475" applyFont="1" applyFill="1" applyBorder="1" applyAlignment="1">
      <alignment horizontal="center"/>
      <protection/>
    </xf>
    <xf numFmtId="0" fontId="68" fillId="48" borderId="44" xfId="475" applyFill="1" applyBorder="1" applyAlignment="1">
      <alignment horizontal="center"/>
      <protection/>
    </xf>
    <xf numFmtId="0" fontId="68" fillId="48" borderId="45" xfId="475" applyFill="1" applyBorder="1" applyAlignment="1">
      <alignment horizontal="center"/>
      <protection/>
    </xf>
    <xf numFmtId="0" fontId="83" fillId="48" borderId="28" xfId="475" applyFont="1" applyFill="1" applyBorder="1" applyAlignment="1">
      <alignment horizontal="center"/>
      <protection/>
    </xf>
    <xf numFmtId="0" fontId="83" fillId="48" borderId="29" xfId="475" applyFont="1" applyFill="1" applyBorder="1" applyAlignment="1">
      <alignment horizontal="center"/>
      <protection/>
    </xf>
    <xf numFmtId="0" fontId="83" fillId="48" borderId="30" xfId="475" applyFont="1" applyFill="1" applyBorder="1" applyAlignment="1">
      <alignment horizontal="center"/>
      <protection/>
    </xf>
    <xf numFmtId="0" fontId="93" fillId="0" borderId="43" xfId="475" applyFont="1" applyBorder="1" applyAlignment="1">
      <alignment horizontal="center"/>
      <protection/>
    </xf>
    <xf numFmtId="0" fontId="93" fillId="0" borderId="44" xfId="475" applyFont="1" applyBorder="1" applyAlignment="1">
      <alignment horizontal="center"/>
      <protection/>
    </xf>
    <xf numFmtId="0" fontId="93" fillId="0" borderId="45" xfId="475" applyFont="1" applyBorder="1" applyAlignment="1">
      <alignment horizontal="center"/>
      <protection/>
    </xf>
    <xf numFmtId="0" fontId="83" fillId="48" borderId="36" xfId="475" applyFont="1" applyFill="1" applyBorder="1" applyAlignment="1">
      <alignment horizontal="center"/>
      <protection/>
    </xf>
    <xf numFmtId="0" fontId="83" fillId="48" borderId="0" xfId="475" applyFont="1" applyFill="1" applyBorder="1" applyAlignment="1">
      <alignment horizontal="center"/>
      <protection/>
    </xf>
    <xf numFmtId="0" fontId="83" fillId="48" borderId="32" xfId="475" applyFont="1" applyFill="1" applyBorder="1" applyAlignment="1">
      <alignment horizontal="center"/>
      <protection/>
    </xf>
    <xf numFmtId="0" fontId="31" fillId="33" borderId="21" xfId="0" applyFont="1" applyFill="1" applyBorder="1" applyAlignment="1">
      <alignment horizontal="center"/>
    </xf>
    <xf numFmtId="187" fontId="31" fillId="33" borderId="0" xfId="0" applyNumberFormat="1" applyFont="1" applyFill="1" applyBorder="1" applyAlignment="1">
      <alignment horizontal="center"/>
    </xf>
    <xf numFmtId="0" fontId="31" fillId="33" borderId="36" xfId="0" applyFont="1" applyFill="1" applyBorder="1" applyAlignment="1">
      <alignment vertical="top" wrapText="1"/>
    </xf>
    <xf numFmtId="0" fontId="31" fillId="0" borderId="0" xfId="0" applyFont="1" applyAlignment="1">
      <alignment vertical="top" wrapText="1"/>
    </xf>
    <xf numFmtId="0" fontId="31" fillId="0" borderId="32" xfId="0" applyFont="1" applyBorder="1" applyAlignment="1">
      <alignment vertical="top" wrapText="1"/>
    </xf>
    <xf numFmtId="188" fontId="31" fillId="33" borderId="0" xfId="0" applyNumberFormat="1" applyFont="1" applyFill="1" applyBorder="1" applyAlignment="1">
      <alignment horizontal="center"/>
    </xf>
    <xf numFmtId="0" fontId="31" fillId="0" borderId="32" xfId="0" applyFont="1" applyBorder="1" applyAlignment="1">
      <alignment horizontal="center"/>
    </xf>
    <xf numFmtId="182" fontId="31" fillId="35" borderId="14" xfId="0" applyNumberFormat="1" applyFont="1" applyFill="1" applyBorder="1" applyAlignment="1" applyProtection="1">
      <alignment horizontal="center"/>
      <protection locked="0"/>
    </xf>
    <xf numFmtId="188" fontId="31" fillId="0" borderId="32" xfId="0" applyNumberFormat="1" applyFont="1" applyBorder="1" applyAlignment="1">
      <alignment horizontal="center"/>
    </xf>
    <xf numFmtId="0" fontId="32" fillId="33" borderId="0" xfId="0" applyFont="1" applyFill="1" applyAlignment="1">
      <alignment horizontal="center" wrapText="1"/>
    </xf>
    <xf numFmtId="0" fontId="31" fillId="33" borderId="0" xfId="0" applyFont="1" applyFill="1" applyAlignment="1">
      <alignment wrapText="1"/>
    </xf>
    <xf numFmtId="0" fontId="31" fillId="33" borderId="0" xfId="0" applyFont="1" applyFill="1" applyBorder="1" applyAlignment="1">
      <alignment horizontal="center"/>
    </xf>
    <xf numFmtId="187" fontId="31" fillId="35" borderId="14" xfId="0" applyNumberFormat="1" applyFont="1" applyFill="1" applyBorder="1" applyAlignment="1" applyProtection="1">
      <alignment horizontal="center"/>
      <protection locked="0"/>
    </xf>
    <xf numFmtId="5" fontId="31" fillId="33" borderId="14" xfId="0" applyNumberFormat="1" applyFont="1" applyFill="1" applyBorder="1" applyAlignment="1">
      <alignment horizontal="center"/>
    </xf>
    <xf numFmtId="0" fontId="32" fillId="33" borderId="29" xfId="0" applyFont="1" applyFill="1" applyBorder="1" applyAlignment="1">
      <alignment horizontal="center" vertical="center"/>
    </xf>
    <xf numFmtId="0" fontId="31" fillId="0" borderId="29" xfId="0" applyFont="1" applyBorder="1" applyAlignment="1">
      <alignment horizontal="center" vertical="center"/>
    </xf>
    <xf numFmtId="0" fontId="32" fillId="33" borderId="0" xfId="0" applyFont="1" applyFill="1" applyBorder="1" applyAlignment="1">
      <alignment horizontal="center" wrapText="1"/>
    </xf>
    <xf numFmtId="0" fontId="31" fillId="0" borderId="0" xfId="0" applyFont="1" applyAlignment="1">
      <alignment horizontal="center" wrapText="1"/>
    </xf>
    <xf numFmtId="0" fontId="32" fillId="0" borderId="0" xfId="0" applyFont="1" applyAlignment="1">
      <alignment horizontal="center" wrapText="1"/>
    </xf>
    <xf numFmtId="0" fontId="31" fillId="33" borderId="0" xfId="0" applyFont="1" applyFill="1" applyBorder="1" applyAlignment="1">
      <alignment wrapText="1"/>
    </xf>
    <xf numFmtId="0" fontId="31" fillId="0" borderId="0" xfId="0" applyFont="1" applyAlignment="1">
      <alignment wrapText="1"/>
    </xf>
    <xf numFmtId="187" fontId="31" fillId="35" borderId="31" xfId="0" applyNumberFormat="1" applyFont="1" applyFill="1" applyBorder="1" applyAlignment="1" applyProtection="1">
      <alignment horizontal="center"/>
      <protection locked="0"/>
    </xf>
    <xf numFmtId="0" fontId="31" fillId="33" borderId="0" xfId="0" applyFont="1" applyFill="1" applyBorder="1" applyAlignment="1">
      <alignment/>
    </xf>
    <xf numFmtId="0" fontId="31" fillId="0" borderId="0" xfId="0" applyFont="1" applyBorder="1" applyAlignment="1">
      <alignment/>
    </xf>
    <xf numFmtId="0" fontId="31" fillId="33" borderId="34" xfId="0" applyFont="1" applyFill="1" applyBorder="1" applyAlignment="1">
      <alignment/>
    </xf>
    <xf numFmtId="0" fontId="31" fillId="33" borderId="35" xfId="0" applyFont="1" applyFill="1" applyBorder="1" applyAlignment="1">
      <alignment/>
    </xf>
    <xf numFmtId="0" fontId="32" fillId="33" borderId="0" xfId="0" applyFont="1" applyFill="1" applyAlignment="1">
      <alignment horizontal="center"/>
    </xf>
    <xf numFmtId="187" fontId="31" fillId="33" borderId="0" xfId="0" applyNumberFormat="1" applyFont="1" applyFill="1" applyAlignment="1">
      <alignment/>
    </xf>
    <xf numFmtId="187" fontId="31" fillId="33" borderId="0" xfId="0" applyNumberFormat="1" applyFont="1" applyFill="1" applyAlignment="1">
      <alignment horizontal="center"/>
    </xf>
    <xf numFmtId="0" fontId="32" fillId="33" borderId="0" xfId="0" applyFont="1" applyFill="1" applyAlignment="1">
      <alignment horizontal="center" vertical="center"/>
    </xf>
    <xf numFmtId="0" fontId="32" fillId="0" borderId="0" xfId="0" applyFont="1" applyAlignment="1">
      <alignment horizontal="center" vertical="center"/>
    </xf>
    <xf numFmtId="181" fontId="4" fillId="33" borderId="14" xfId="93" applyNumberFormat="1" applyFont="1" applyFill="1" applyBorder="1" applyAlignment="1" applyProtection="1">
      <alignment vertical="center"/>
      <protection/>
    </xf>
  </cellXfs>
  <cellStyles count="6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3 2" xfId="97"/>
    <cellStyle name="Normal 10 3 3" xfId="98"/>
    <cellStyle name="Normal 10 4" xfId="99"/>
    <cellStyle name="Normal 10 4 2" xfId="100"/>
    <cellStyle name="Normal 10 4 3" xfId="101"/>
    <cellStyle name="Normal 10 5" xfId="102"/>
    <cellStyle name="Normal 10 5 2" xfId="103"/>
    <cellStyle name="Normal 10 5 3" xfId="104"/>
    <cellStyle name="Normal 10 6" xfId="105"/>
    <cellStyle name="Normal 10 6 2" xfId="106"/>
    <cellStyle name="Normal 10 6 3" xfId="107"/>
    <cellStyle name="Normal 10 7" xfId="108"/>
    <cellStyle name="Normal 10 7 2" xfId="109"/>
    <cellStyle name="Normal 10 7 3" xfId="110"/>
    <cellStyle name="Normal 10 8" xfId="111"/>
    <cellStyle name="Normal 11" xfId="112"/>
    <cellStyle name="Normal 11 2" xfId="113"/>
    <cellStyle name="Normal 11 2 2" xfId="114"/>
    <cellStyle name="Normal 11 2 3" xfId="115"/>
    <cellStyle name="Normal 11 3" xfId="116"/>
    <cellStyle name="Normal 11 4" xfId="117"/>
    <cellStyle name="Normal 11 5" xfId="118"/>
    <cellStyle name="Normal 11 5 2" xfId="119"/>
    <cellStyle name="Normal 11 5 3" xfId="120"/>
    <cellStyle name="Normal 11 6" xfId="121"/>
    <cellStyle name="Normal 11 6 2" xfId="122"/>
    <cellStyle name="Normal 11 7" xfId="123"/>
    <cellStyle name="Normal 12" xfId="124"/>
    <cellStyle name="Normal 12 10" xfId="125"/>
    <cellStyle name="Normal 12 11" xfId="126"/>
    <cellStyle name="Normal 12 12" xfId="127"/>
    <cellStyle name="Normal 12 13" xfId="128"/>
    <cellStyle name="Normal 12 14" xfId="129"/>
    <cellStyle name="Normal 12 15" xfId="130"/>
    <cellStyle name="Normal 12 2" xfId="131"/>
    <cellStyle name="Normal 12 2 2" xfId="132"/>
    <cellStyle name="Normal 12 3" xfId="133"/>
    <cellStyle name="Normal 12 4" xfId="134"/>
    <cellStyle name="Normal 12 5" xfId="135"/>
    <cellStyle name="Normal 12 6" xfId="136"/>
    <cellStyle name="Normal 12 7" xfId="137"/>
    <cellStyle name="Normal 12 8" xfId="138"/>
    <cellStyle name="Normal 12 9" xfId="139"/>
    <cellStyle name="Normal 13" xfId="140"/>
    <cellStyle name="Normal 13 10" xfId="141"/>
    <cellStyle name="Normal 13 11" xfId="142"/>
    <cellStyle name="Normal 13 12" xfId="143"/>
    <cellStyle name="Normal 13 13" xfId="144"/>
    <cellStyle name="Normal 13 13 2" xfId="145"/>
    <cellStyle name="Normal 13 2" xfId="146"/>
    <cellStyle name="Normal 13 2 2" xfId="147"/>
    <cellStyle name="Normal 13 3" xfId="148"/>
    <cellStyle name="Normal 13 4" xfId="149"/>
    <cellStyle name="Normal 13 5" xfId="150"/>
    <cellStyle name="Normal 13 6" xfId="151"/>
    <cellStyle name="Normal 13 7" xfId="152"/>
    <cellStyle name="Normal 13 8" xfId="153"/>
    <cellStyle name="Normal 13 9" xfId="154"/>
    <cellStyle name="Normal 14" xfId="155"/>
    <cellStyle name="Normal 14 2" xfId="156"/>
    <cellStyle name="Normal 14 3" xfId="157"/>
    <cellStyle name="Normal 14 4" xfId="158"/>
    <cellStyle name="Normal 14 5" xfId="159"/>
    <cellStyle name="Normal 14 5 2" xfId="160"/>
    <cellStyle name="Normal 14 6" xfId="161"/>
    <cellStyle name="Normal 14 7" xfId="162"/>
    <cellStyle name="Normal 14 7 2" xfId="163"/>
    <cellStyle name="Normal 14 7 3" xfId="164"/>
    <cellStyle name="Normal 15" xfId="165"/>
    <cellStyle name="Normal 15 2" xfId="166"/>
    <cellStyle name="Normal 15 3" xfId="167"/>
    <cellStyle name="Normal 15 4" xfId="168"/>
    <cellStyle name="Normal 15 5" xfId="169"/>
    <cellStyle name="Normal 15 5 2" xfId="170"/>
    <cellStyle name="Normal 16" xfId="171"/>
    <cellStyle name="Normal 16 2" xfId="172"/>
    <cellStyle name="Normal 16 3" xfId="173"/>
    <cellStyle name="Normal 16 4" xfId="174"/>
    <cellStyle name="Normal 16 5" xfId="175"/>
    <cellStyle name="Normal 16 5 2" xfId="176"/>
    <cellStyle name="Normal 17" xfId="177"/>
    <cellStyle name="Normal 17 2" xfId="178"/>
    <cellStyle name="Normal 17 3" xfId="179"/>
    <cellStyle name="Normal 17 4" xfId="180"/>
    <cellStyle name="Normal 17 5" xfId="181"/>
    <cellStyle name="Normal 17 5 2" xfId="182"/>
    <cellStyle name="Normal 18" xfId="183"/>
    <cellStyle name="Normal 18 2" xfId="184"/>
    <cellStyle name="Normal 18 2 2" xfId="185"/>
    <cellStyle name="Normal 18 2 3" xfId="186"/>
    <cellStyle name="Normal 18 3" xfId="187"/>
    <cellStyle name="Normal 18 4" xfId="188"/>
    <cellStyle name="Normal 18 5" xfId="189"/>
    <cellStyle name="Normal 18 6" xfId="190"/>
    <cellStyle name="Normal 18 7" xfId="191"/>
    <cellStyle name="Normal 18 8" xfId="192"/>
    <cellStyle name="Normal 18 9" xfId="193"/>
    <cellStyle name="Normal 19" xfId="194"/>
    <cellStyle name="Normal 19 2" xfId="195"/>
    <cellStyle name="Normal 19 2 2" xfId="196"/>
    <cellStyle name="Normal 19 2 3" xfId="197"/>
    <cellStyle name="Normal 19 3" xfId="198"/>
    <cellStyle name="Normal 19 4" xfId="199"/>
    <cellStyle name="Normal 19 5" xfId="200"/>
    <cellStyle name="Normal 19 6" xfId="201"/>
    <cellStyle name="Normal 19 7" xfId="202"/>
    <cellStyle name="Normal 19 8" xfId="203"/>
    <cellStyle name="Normal 2" xfId="204"/>
    <cellStyle name="Normal 2 10" xfId="205"/>
    <cellStyle name="Normal 2 10 10" xfId="206"/>
    <cellStyle name="Normal 2 10 11" xfId="207"/>
    <cellStyle name="Normal 2 10 11 2" xfId="208"/>
    <cellStyle name="Normal 2 10 11 2 2" xfId="209"/>
    <cellStyle name="Normal 2 10 11 2 2 2" xfId="210"/>
    <cellStyle name="Normal 2 10 11 2 2 3" xfId="211"/>
    <cellStyle name="Normal 2 10 11 3" xfId="212"/>
    <cellStyle name="Normal 2 10 11 4" xfId="213"/>
    <cellStyle name="Normal 2 10 11 5" xfId="214"/>
    <cellStyle name="Normal 2 10 12" xfId="215"/>
    <cellStyle name="Normal 2 10 2" xfId="216"/>
    <cellStyle name="Normal 2 10 2 2" xfId="217"/>
    <cellStyle name="Normal 2 10 3" xfId="218"/>
    <cellStyle name="Normal 2 10 3 2" xfId="219"/>
    <cellStyle name="Normal 2 10 4" xfId="220"/>
    <cellStyle name="Normal 2 10 4 2" xfId="221"/>
    <cellStyle name="Normal 2 10 5" xfId="222"/>
    <cellStyle name="Normal 2 10 5 2" xfId="223"/>
    <cellStyle name="Normal 2 10 6" xfId="224"/>
    <cellStyle name="Normal 2 10 6 2" xfId="225"/>
    <cellStyle name="Normal 2 10 7" xfId="226"/>
    <cellStyle name="Normal 2 10 7 2" xfId="227"/>
    <cellStyle name="Normal 2 10 8" xfId="228"/>
    <cellStyle name="Normal 2 10 8 2" xfId="229"/>
    <cellStyle name="Normal 2 10 9" xfId="230"/>
    <cellStyle name="Normal 2 11" xfId="231"/>
    <cellStyle name="Normal 2 11 10" xfId="232"/>
    <cellStyle name="Normal 2 11 11" xfId="233"/>
    <cellStyle name="Normal 2 11 2" xfId="234"/>
    <cellStyle name="Normal 2 11 2 2" xfId="235"/>
    <cellStyle name="Normal 2 11 3" xfId="236"/>
    <cellStyle name="Normal 2 11 3 2" xfId="237"/>
    <cellStyle name="Normal 2 11 4" xfId="238"/>
    <cellStyle name="Normal 2 11 4 2" xfId="239"/>
    <cellStyle name="Normal 2 11 5" xfId="240"/>
    <cellStyle name="Normal 2 11 5 2" xfId="241"/>
    <cellStyle name="Normal 2 11 6" xfId="242"/>
    <cellStyle name="Normal 2 11 6 2" xfId="243"/>
    <cellStyle name="Normal 2 11 7" xfId="244"/>
    <cellStyle name="Normal 2 11 7 2" xfId="245"/>
    <cellStyle name="Normal 2 11 8" xfId="246"/>
    <cellStyle name="Normal 2 11 8 2" xfId="247"/>
    <cellStyle name="Normal 2 11 9" xfId="248"/>
    <cellStyle name="Normal 2 12" xfId="249"/>
    <cellStyle name="Normal 2 13" xfId="250"/>
    <cellStyle name="Normal 2 14" xfId="251"/>
    <cellStyle name="Normal 2 15" xfId="252"/>
    <cellStyle name="Normal 2 16" xfId="253"/>
    <cellStyle name="Normal 2 17" xfId="254"/>
    <cellStyle name="Normal 2 17 2" xfId="255"/>
    <cellStyle name="Normal 2 17 3" xfId="256"/>
    <cellStyle name="Normal 2 18" xfId="257"/>
    <cellStyle name="Normal 2 19" xfId="258"/>
    <cellStyle name="Normal 2 2" xfId="259"/>
    <cellStyle name="Normal 2 2 10" xfId="260"/>
    <cellStyle name="Normal 2 2 10 2" xfId="261"/>
    <cellStyle name="Normal 2 2 11" xfId="262"/>
    <cellStyle name="Normal 2 2 11 2" xfId="263"/>
    <cellStyle name="Normal 2 2 12" xfId="264"/>
    <cellStyle name="Normal 2 2 12 2" xfId="265"/>
    <cellStyle name="Normal 2 2 12 2 2" xfId="266"/>
    <cellStyle name="Normal 2 2 12 2 3" xfId="267"/>
    <cellStyle name="Normal 2 2 12 2 4" xfId="268"/>
    <cellStyle name="Normal 2 2 12 3" xfId="269"/>
    <cellStyle name="Normal 2 2 12 4" xfId="270"/>
    <cellStyle name="Normal 2 2 13" xfId="271"/>
    <cellStyle name="Normal 2 2 13 2" xfId="272"/>
    <cellStyle name="Normal 2 2 13 2 2" xfId="273"/>
    <cellStyle name="Normal 2 2 13 2 3" xfId="274"/>
    <cellStyle name="Normal 2 2 13 2 4" xfId="275"/>
    <cellStyle name="Normal 2 2 13 3" xfId="276"/>
    <cellStyle name="Normal 2 2 13 4" xfId="277"/>
    <cellStyle name="Normal 2 2 14" xfId="278"/>
    <cellStyle name="Normal 2 2 14 2" xfId="279"/>
    <cellStyle name="Normal 2 2 15" xfId="280"/>
    <cellStyle name="Normal 2 2 15 2" xfId="281"/>
    <cellStyle name="Normal 2 2 16" xfId="282"/>
    <cellStyle name="Normal 2 2 16 2" xfId="283"/>
    <cellStyle name="Normal 2 2 16 3" xfId="284"/>
    <cellStyle name="Normal 2 2 17" xfId="285"/>
    <cellStyle name="Normal 2 2 18" xfId="286"/>
    <cellStyle name="Normal 2 2 19" xfId="287"/>
    <cellStyle name="Normal 2 2 2" xfId="288"/>
    <cellStyle name="Normal 2 2 2 2" xfId="289"/>
    <cellStyle name="Normal 2 2 2 2 2" xfId="290"/>
    <cellStyle name="Normal 2 2 2 2 3" xfId="291"/>
    <cellStyle name="Normal 2 2 2 2 3 2" xfId="292"/>
    <cellStyle name="Normal 2 2 2 2 3 3" xfId="293"/>
    <cellStyle name="Normal 2 2 2 3" xfId="294"/>
    <cellStyle name="Normal 2 2 2 3 2" xfId="295"/>
    <cellStyle name="Normal 2 2 2 3 3" xfId="296"/>
    <cellStyle name="Normal 2 2 2 3 4" xfId="297"/>
    <cellStyle name="Normal 2 2 2 4" xfId="298"/>
    <cellStyle name="Normal 2 2 2 4 2" xfId="299"/>
    <cellStyle name="Normal 2 2 2 5" xfId="300"/>
    <cellStyle name="Normal 2 2 2 5 2" xfId="301"/>
    <cellStyle name="Normal 2 2 2 5 2 2" xfId="302"/>
    <cellStyle name="Normal 2 2 2 5 3" xfId="303"/>
    <cellStyle name="Normal 2 2 2 5 4" xfId="304"/>
    <cellStyle name="Normal 2 2 2 6" xfId="305"/>
    <cellStyle name="Normal 2 2 2 6 2" xfId="306"/>
    <cellStyle name="Normal 2 2 2 7" xfId="307"/>
    <cellStyle name="Normal 2 2 2 7 2" xfId="308"/>
    <cellStyle name="Normal 2 2 2 7 3" xfId="309"/>
    <cellStyle name="Normal 2 2 2 8" xfId="310"/>
    <cellStyle name="Normal 2 2 20" xfId="311"/>
    <cellStyle name="Normal 2 2 21" xfId="312"/>
    <cellStyle name="Normal 2 2 22" xfId="313"/>
    <cellStyle name="Normal 2 2 3" xfId="314"/>
    <cellStyle name="Normal 2 2 3 2" xfId="315"/>
    <cellStyle name="Normal 2 2 4" xfId="316"/>
    <cellStyle name="Normal 2 2 4 2" xfId="317"/>
    <cellStyle name="Normal 2 2 5" xfId="318"/>
    <cellStyle name="Normal 2 2 5 2" xfId="319"/>
    <cellStyle name="Normal 2 2 6" xfId="320"/>
    <cellStyle name="Normal 2 2 6 2" xfId="321"/>
    <cellStyle name="Normal 2 2 7" xfId="322"/>
    <cellStyle name="Normal 2 2 7 2" xfId="323"/>
    <cellStyle name="Normal 2 2 8" xfId="324"/>
    <cellStyle name="Normal 2 2 8 2" xfId="325"/>
    <cellStyle name="Normal 2 2 9" xfId="326"/>
    <cellStyle name="Normal 2 2 9 2" xfId="327"/>
    <cellStyle name="Normal 2 3" xfId="328"/>
    <cellStyle name="Normal 2 3 10" xfId="329"/>
    <cellStyle name="Normal 2 3 11" xfId="330"/>
    <cellStyle name="Normal 2 3 12" xfId="331"/>
    <cellStyle name="Normal 2 3 13" xfId="332"/>
    <cellStyle name="Normal 2 3 14" xfId="333"/>
    <cellStyle name="Normal 2 3 15" xfId="334"/>
    <cellStyle name="Normal 2 3 2" xfId="335"/>
    <cellStyle name="Normal 2 3 2 2" xfId="336"/>
    <cellStyle name="Normal 2 3 2 2 2" xfId="337"/>
    <cellStyle name="Normal 2 3 2 2 3" xfId="338"/>
    <cellStyle name="Normal 2 3 2 3" xfId="339"/>
    <cellStyle name="Normal 2 3 2 4" xfId="340"/>
    <cellStyle name="Normal 2 3 2 5" xfId="341"/>
    <cellStyle name="Normal 2 3 3" xfId="342"/>
    <cellStyle name="Normal 2 3 3 2" xfId="343"/>
    <cellStyle name="Normal 2 3 3 3" xfId="344"/>
    <cellStyle name="Normal 2 3 4" xfId="345"/>
    <cellStyle name="Normal 2 3 5" xfId="346"/>
    <cellStyle name="Normal 2 3 6" xfId="347"/>
    <cellStyle name="Normal 2 3 7" xfId="348"/>
    <cellStyle name="Normal 2 3 8" xfId="349"/>
    <cellStyle name="Normal 2 3 9" xfId="350"/>
    <cellStyle name="Normal 2 4" xfId="351"/>
    <cellStyle name="Normal 2 4 10" xfId="352"/>
    <cellStyle name="Normal 2 4 11" xfId="353"/>
    <cellStyle name="Normal 2 4 12" xfId="354"/>
    <cellStyle name="Normal 2 4 12 2" xfId="355"/>
    <cellStyle name="Normal 2 4 12 3" xfId="356"/>
    <cellStyle name="Normal 2 4 13" xfId="357"/>
    <cellStyle name="Normal 2 4 13 2" xfId="358"/>
    <cellStyle name="Normal 2 4 13 3" xfId="359"/>
    <cellStyle name="Normal 2 4 14" xfId="360"/>
    <cellStyle name="Normal 2 4 15" xfId="361"/>
    <cellStyle name="Normal 2 4 16" xfId="362"/>
    <cellStyle name="Normal 2 4 2" xfId="363"/>
    <cellStyle name="Normal 2 4 2 2" xfId="364"/>
    <cellStyle name="Normal 2 4 2 2 2" xfId="365"/>
    <cellStyle name="Normal 2 4 2 2 3" xfId="366"/>
    <cellStyle name="Normal 2 4 2 2 3 2" xfId="367"/>
    <cellStyle name="Normal 2 4 2 2 4" xfId="368"/>
    <cellStyle name="Normal 2 4 2 2 5" xfId="369"/>
    <cellStyle name="Normal 2 4 2 3" xfId="370"/>
    <cellStyle name="Normal 2 4 2 4" xfId="371"/>
    <cellStyle name="Normal 2 4 2 5" xfId="372"/>
    <cellStyle name="Normal 2 4 2 6" xfId="373"/>
    <cellStyle name="Normal 2 4 2 7" xfId="374"/>
    <cellStyle name="Normal 2 4 3" xfId="375"/>
    <cellStyle name="Normal 2 4 3 2" xfId="376"/>
    <cellStyle name="Normal 2 4 3 3" xfId="377"/>
    <cellStyle name="Normal 2 4 4" xfId="378"/>
    <cellStyle name="Normal 2 4 5" xfId="379"/>
    <cellStyle name="Normal 2 4 6" xfId="380"/>
    <cellStyle name="Normal 2 4 7" xfId="381"/>
    <cellStyle name="Normal 2 4 8" xfId="382"/>
    <cellStyle name="Normal 2 4 9" xfId="383"/>
    <cellStyle name="Normal 2 5" xfId="384"/>
    <cellStyle name="Normal 2 5 10" xfId="385"/>
    <cellStyle name="Normal 2 5 11" xfId="386"/>
    <cellStyle name="Normal 2 5 12" xfId="387"/>
    <cellStyle name="Normal 2 5 12 2" xfId="388"/>
    <cellStyle name="Normal 2 5 12 3" xfId="389"/>
    <cellStyle name="Normal 2 5 2" xfId="390"/>
    <cellStyle name="Normal 2 5 2 2" xfId="391"/>
    <cellStyle name="Normal 2 5 3" xfId="392"/>
    <cellStyle name="Normal 2 5 3 2" xfId="393"/>
    <cellStyle name="Normal 2 5 4" xfId="394"/>
    <cellStyle name="Normal 2 5 5" xfId="395"/>
    <cellStyle name="Normal 2 5 6" xfId="396"/>
    <cellStyle name="Normal 2 5 7" xfId="397"/>
    <cellStyle name="Normal 2 5 8" xfId="398"/>
    <cellStyle name="Normal 2 5 9" xfId="399"/>
    <cellStyle name="Normal 2 6" xfId="400"/>
    <cellStyle name="Normal 2 6 10" xfId="401"/>
    <cellStyle name="Normal 2 6 11" xfId="402"/>
    <cellStyle name="Normal 2 6 12" xfId="403"/>
    <cellStyle name="Normal 2 6 12 2" xfId="404"/>
    <cellStyle name="Normal 2 6 13" xfId="405"/>
    <cellStyle name="Normal 2 6 2" xfId="406"/>
    <cellStyle name="Normal 2 6 2 2" xfId="407"/>
    <cellStyle name="Normal 2 6 3" xfId="408"/>
    <cellStyle name="Normal 2 6 3 2" xfId="409"/>
    <cellStyle name="Normal 2 6 4" xfId="410"/>
    <cellStyle name="Normal 2 6 5" xfId="411"/>
    <cellStyle name="Normal 2 6 6" xfId="412"/>
    <cellStyle name="Normal 2 6 7" xfId="413"/>
    <cellStyle name="Normal 2 6 8" xfId="414"/>
    <cellStyle name="Normal 2 6 9" xfId="415"/>
    <cellStyle name="Normal 2 7" xfId="416"/>
    <cellStyle name="Normal 2 7 10" xfId="417"/>
    <cellStyle name="Normal 2 7 11" xfId="418"/>
    <cellStyle name="Normal 2 7 2" xfId="419"/>
    <cellStyle name="Normal 2 7 2 2" xfId="420"/>
    <cellStyle name="Normal 2 7 2 3" xfId="421"/>
    <cellStyle name="Normal 2 7 3" xfId="422"/>
    <cellStyle name="Normal 2 7 3 2" xfId="423"/>
    <cellStyle name="Normal 2 7 4" xfId="424"/>
    <cellStyle name="Normal 2 7 4 2" xfId="425"/>
    <cellStyle name="Normal 2 7 5" xfId="426"/>
    <cellStyle name="Normal 2 7 5 2" xfId="427"/>
    <cellStyle name="Normal 2 7 6" xfId="428"/>
    <cellStyle name="Normal 2 7 6 2" xfId="429"/>
    <cellStyle name="Normal 2 7 7" xfId="430"/>
    <cellStyle name="Normal 2 7 7 2" xfId="431"/>
    <cellStyle name="Normal 2 7 8" xfId="432"/>
    <cellStyle name="Normal 2 7 8 2" xfId="433"/>
    <cellStyle name="Normal 2 7 9" xfId="434"/>
    <cellStyle name="Normal 2 8" xfId="435"/>
    <cellStyle name="Normal 2 8 10" xfId="436"/>
    <cellStyle name="Normal 2 8 11" xfId="437"/>
    <cellStyle name="Normal 2 8 2" xfId="438"/>
    <cellStyle name="Normal 2 8 2 2" xfId="439"/>
    <cellStyle name="Normal 2 8 3" xfId="440"/>
    <cellStyle name="Normal 2 8 3 2" xfId="441"/>
    <cellStyle name="Normal 2 8 4" xfId="442"/>
    <cellStyle name="Normal 2 8 4 2" xfId="443"/>
    <cellStyle name="Normal 2 8 5" xfId="444"/>
    <cellStyle name="Normal 2 8 5 2" xfId="445"/>
    <cellStyle name="Normal 2 8 6" xfId="446"/>
    <cellStyle name="Normal 2 8 6 2" xfId="447"/>
    <cellStyle name="Normal 2 8 7" xfId="448"/>
    <cellStyle name="Normal 2 8 7 2" xfId="449"/>
    <cellStyle name="Normal 2 8 8" xfId="450"/>
    <cellStyle name="Normal 2 8 8 2" xfId="451"/>
    <cellStyle name="Normal 2 8 9" xfId="452"/>
    <cellStyle name="Normal 2 9" xfId="453"/>
    <cellStyle name="Normal 2 9 10" xfId="454"/>
    <cellStyle name="Normal 2 9 11" xfId="455"/>
    <cellStyle name="Normal 2 9 2" xfId="456"/>
    <cellStyle name="Normal 2 9 2 2" xfId="457"/>
    <cellStyle name="Normal 2 9 3" xfId="458"/>
    <cellStyle name="Normal 2 9 3 2" xfId="459"/>
    <cellStyle name="Normal 2 9 4" xfId="460"/>
    <cellStyle name="Normal 2 9 4 2" xfId="461"/>
    <cellStyle name="Normal 2 9 5" xfId="462"/>
    <cellStyle name="Normal 2 9 5 2" xfId="463"/>
    <cellStyle name="Normal 2 9 6" xfId="464"/>
    <cellStyle name="Normal 2 9 6 2" xfId="465"/>
    <cellStyle name="Normal 2 9 7" xfId="466"/>
    <cellStyle name="Normal 2 9 7 2" xfId="467"/>
    <cellStyle name="Normal 2 9 8" xfId="468"/>
    <cellStyle name="Normal 2 9 8 2" xfId="469"/>
    <cellStyle name="Normal 2 9 9" xfId="470"/>
    <cellStyle name="Normal 20" xfId="471"/>
    <cellStyle name="Normal 20 2" xfId="472"/>
    <cellStyle name="Normal 20 3" xfId="473"/>
    <cellStyle name="Normal 21" xfId="474"/>
    <cellStyle name="Normal 21 2" xfId="475"/>
    <cellStyle name="Normal 21 2 2" xfId="476"/>
    <cellStyle name="Normal 21 2 3" xfId="477"/>
    <cellStyle name="Normal 21 3" xfId="478"/>
    <cellStyle name="Normal 21 4" xfId="479"/>
    <cellStyle name="Normal 21 5" xfId="480"/>
    <cellStyle name="Normal 22" xfId="481"/>
    <cellStyle name="Normal 22 2" xfId="482"/>
    <cellStyle name="Normal 22 3" xfId="483"/>
    <cellStyle name="Normal 23" xfId="484"/>
    <cellStyle name="Normal 23 2" xfId="485"/>
    <cellStyle name="Normal 23 3" xfId="486"/>
    <cellStyle name="Normal 24" xfId="487"/>
    <cellStyle name="Normal 24 2" xfId="488"/>
    <cellStyle name="Normal 24 3" xfId="489"/>
    <cellStyle name="Normal 25" xfId="490"/>
    <cellStyle name="Normal 25 2" xfId="491"/>
    <cellStyle name="Normal 25 3" xfId="492"/>
    <cellStyle name="Normal 26" xfId="493"/>
    <cellStyle name="Normal 27" xfId="494"/>
    <cellStyle name="Normal 27 2" xfId="495"/>
    <cellStyle name="Normal 3" xfId="496"/>
    <cellStyle name="Normal 3 10" xfId="497"/>
    <cellStyle name="Normal 3 10 2" xfId="498"/>
    <cellStyle name="Normal 3 10 3" xfId="499"/>
    <cellStyle name="Normal 3 11" xfId="500"/>
    <cellStyle name="Normal 3 12" xfId="501"/>
    <cellStyle name="Normal 3 13" xfId="502"/>
    <cellStyle name="Normal 3 14" xfId="503"/>
    <cellStyle name="Normal 3 15" xfId="504"/>
    <cellStyle name="Normal 3 2" xfId="505"/>
    <cellStyle name="Normal 3 2 2" xfId="506"/>
    <cellStyle name="Normal 3 2 2 2" xfId="507"/>
    <cellStyle name="Normal 3 2 2 3" xfId="508"/>
    <cellStyle name="Normal 3 2 3" xfId="509"/>
    <cellStyle name="Normal 3 2 4" xfId="510"/>
    <cellStyle name="Normal 3 2 5" xfId="511"/>
    <cellStyle name="Normal 3 3" xfId="512"/>
    <cellStyle name="Normal 3 3 2" xfId="513"/>
    <cellStyle name="Normal 3 3 2 2" xfId="514"/>
    <cellStyle name="Normal 3 3 2 3" xfId="515"/>
    <cellStyle name="Normal 3 3 3" xfId="516"/>
    <cellStyle name="Normal 3 3 4" xfId="517"/>
    <cellStyle name="Normal 3 4" xfId="518"/>
    <cellStyle name="Normal 3 5" xfId="519"/>
    <cellStyle name="Normal 3 6" xfId="520"/>
    <cellStyle name="Normal 3 7" xfId="521"/>
    <cellStyle name="Normal 3 7 2" xfId="522"/>
    <cellStyle name="Normal 3 7 3" xfId="523"/>
    <cellStyle name="Normal 3 7 3 2" xfId="524"/>
    <cellStyle name="Normal 3 7 4" xfId="525"/>
    <cellStyle name="Normal 3 7 5" xfId="526"/>
    <cellStyle name="Normal 3 8" xfId="527"/>
    <cellStyle name="Normal 3 8 2" xfId="528"/>
    <cellStyle name="Normal 3 8 3" xfId="529"/>
    <cellStyle name="Normal 3 8 3 2" xfId="530"/>
    <cellStyle name="Normal 3 8 4" xfId="531"/>
    <cellStyle name="Normal 3 8 5" xfId="532"/>
    <cellStyle name="Normal 3 9" xfId="533"/>
    <cellStyle name="Normal 3 9 2" xfId="534"/>
    <cellStyle name="Normal 3 9 3" xfId="535"/>
    <cellStyle name="Normal 3 9 3 2" xfId="536"/>
    <cellStyle name="Normal 3 9 4" xfId="537"/>
    <cellStyle name="Normal 3 9 5" xfId="538"/>
    <cellStyle name="Normal 4" xfId="539"/>
    <cellStyle name="Normal 4 10" xfId="540"/>
    <cellStyle name="Normal 4 11" xfId="541"/>
    <cellStyle name="Normal 4 12" xfId="542"/>
    <cellStyle name="Normal 4 13" xfId="543"/>
    <cellStyle name="Normal 4 2" xfId="544"/>
    <cellStyle name="Normal 4 2 2" xfId="545"/>
    <cellStyle name="Normal 4 2 2 2" xfId="546"/>
    <cellStyle name="Normal 4 2 2 3" xfId="547"/>
    <cellStyle name="Normal 4 2 2 3 2" xfId="548"/>
    <cellStyle name="Normal 4 2 2 3 3" xfId="549"/>
    <cellStyle name="Normal 4 2 2 4" xfId="550"/>
    <cellStyle name="Normal 4 2 2 5" xfId="551"/>
    <cellStyle name="Normal 4 2 3" xfId="552"/>
    <cellStyle name="Normal 4 2 4" xfId="553"/>
    <cellStyle name="Normal 4 2 5" xfId="554"/>
    <cellStyle name="Normal 4 2 6" xfId="555"/>
    <cellStyle name="Normal 4 2 7" xfId="556"/>
    <cellStyle name="Normal 4 3" xfId="557"/>
    <cellStyle name="Normal 4 3 2" xfId="558"/>
    <cellStyle name="Normal 4 3 3" xfId="559"/>
    <cellStyle name="Normal 4 4" xfId="560"/>
    <cellStyle name="Normal 4 5" xfId="561"/>
    <cellStyle name="Normal 4 5 2" xfId="562"/>
    <cellStyle name="Normal 4 5 3" xfId="563"/>
    <cellStyle name="Normal 4 6" xfId="564"/>
    <cellStyle name="Normal 4 6 2" xfId="565"/>
    <cellStyle name="Normal 4 6 3" xfId="566"/>
    <cellStyle name="Normal 4 7" xfId="567"/>
    <cellStyle name="Normal 4 8" xfId="568"/>
    <cellStyle name="Normal 4 9" xfId="569"/>
    <cellStyle name="Normal 5" xfId="570"/>
    <cellStyle name="Normal 5 10" xfId="571"/>
    <cellStyle name="Normal 5 11" xfId="572"/>
    <cellStyle name="Normal 5 2" xfId="573"/>
    <cellStyle name="Normal 5 2 2" xfId="574"/>
    <cellStyle name="Normal 5 2 3" xfId="575"/>
    <cellStyle name="Normal 5 2 4" xfId="576"/>
    <cellStyle name="Normal 5 2 5" xfId="577"/>
    <cellStyle name="Normal 5 3" xfId="578"/>
    <cellStyle name="Normal 5 3 2" xfId="579"/>
    <cellStyle name="Normal 5 3 3" xfId="580"/>
    <cellStyle name="Normal 5 3 3 2" xfId="581"/>
    <cellStyle name="Normal 5 3 4" xfId="582"/>
    <cellStyle name="Normal 5 3 5" xfId="583"/>
    <cellStyle name="Normal 5 4" xfId="584"/>
    <cellStyle name="Normal 5 4 2" xfId="585"/>
    <cellStyle name="Normal 5 4 3" xfId="586"/>
    <cellStyle name="Normal 5 4 4" xfId="587"/>
    <cellStyle name="Normal 5 4 5" xfId="588"/>
    <cellStyle name="Normal 5 5" xfId="589"/>
    <cellStyle name="Normal 5 5 2" xfId="590"/>
    <cellStyle name="Normal 5 5 3" xfId="591"/>
    <cellStyle name="Normal 5 6" xfId="592"/>
    <cellStyle name="Normal 5 6 2" xfId="593"/>
    <cellStyle name="Normal 5 7" xfId="594"/>
    <cellStyle name="Normal 5 8" xfId="595"/>
    <cellStyle name="Normal 5 9" xfId="596"/>
    <cellStyle name="Normal 6" xfId="597"/>
    <cellStyle name="Normal 6 2" xfId="598"/>
    <cellStyle name="Normal 6 3" xfId="599"/>
    <cellStyle name="Normal 6 4" xfId="600"/>
    <cellStyle name="Normal 6 5" xfId="601"/>
    <cellStyle name="Normal 7" xfId="602"/>
    <cellStyle name="Normal 7 2" xfId="603"/>
    <cellStyle name="Normal 7 2 2" xfId="604"/>
    <cellStyle name="Normal 7 2 2 2" xfId="605"/>
    <cellStyle name="Normal 7 2 2 3" xfId="606"/>
    <cellStyle name="Normal 7 2 3" xfId="607"/>
    <cellStyle name="Normal 7 2 4" xfId="608"/>
    <cellStyle name="Normal 7 2 4 2" xfId="609"/>
    <cellStyle name="Normal 7 2 4 3" xfId="610"/>
    <cellStyle name="Normal 7 2 5" xfId="611"/>
    <cellStyle name="Normal 7 2 5 2" xfId="612"/>
    <cellStyle name="Normal 7 2 6" xfId="613"/>
    <cellStyle name="Normal 7 3" xfId="614"/>
    <cellStyle name="Normal 7 4" xfId="615"/>
    <cellStyle name="Normal 7 4 2" xfId="616"/>
    <cellStyle name="Normal 7 4 3" xfId="617"/>
    <cellStyle name="Normal 7 5" xfId="618"/>
    <cellStyle name="Normal 7 5 2" xfId="619"/>
    <cellStyle name="Normal 7 5 2 2" xfId="620"/>
    <cellStyle name="Normal 7 5 3" xfId="621"/>
    <cellStyle name="Normal 7 5 4" xfId="622"/>
    <cellStyle name="Normal 7 5 5" xfId="623"/>
    <cellStyle name="Normal 7 6" xfId="624"/>
    <cellStyle name="Normal 7 7" xfId="625"/>
    <cellStyle name="Normal 7 8" xfId="626"/>
    <cellStyle name="Normal 8" xfId="627"/>
    <cellStyle name="Normal 8 2" xfId="628"/>
    <cellStyle name="Normal 8 3" xfId="629"/>
    <cellStyle name="Normal 8 4" xfId="630"/>
    <cellStyle name="Normal 8 5" xfId="631"/>
    <cellStyle name="Normal 9" xfId="632"/>
    <cellStyle name="Normal 9 2" xfId="633"/>
    <cellStyle name="Normal 9 2 2" xfId="634"/>
    <cellStyle name="Normal 9 2 3" xfId="635"/>
    <cellStyle name="Normal 9 3" xfId="636"/>
    <cellStyle name="Normal 9 4" xfId="637"/>
    <cellStyle name="Normal 9 5" xfId="638"/>
    <cellStyle name="Normal 9 5 2" xfId="639"/>
    <cellStyle name="Normal 9 5 3" xfId="640"/>
    <cellStyle name="Normal 9 6" xfId="641"/>
    <cellStyle name="Normal 9 6 2" xfId="642"/>
    <cellStyle name="Normal 9 6 3" xfId="643"/>
    <cellStyle name="Normal 9 7" xfId="644"/>
    <cellStyle name="Normal_debt" xfId="645"/>
    <cellStyle name="Normal_lpform" xfId="646"/>
    <cellStyle name="Note" xfId="647"/>
    <cellStyle name="Output" xfId="648"/>
    <cellStyle name="Percent" xfId="649"/>
    <cellStyle name="Title" xfId="650"/>
    <cellStyle name="Total" xfId="651"/>
    <cellStyle name="Warning Text" xfId="65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8"/>
  <sheetViews>
    <sheetView tabSelected="1" zoomScalePageLayoutView="0" workbookViewId="0" topLeftCell="A1">
      <selection activeCell="M151" sqref="M151"/>
    </sheetView>
  </sheetViews>
  <sheetFormatPr defaultColWidth="8.796875" defaultRowHeight="15"/>
  <cols>
    <col min="1" max="1" width="81.69921875" style="76" customWidth="1"/>
    <col min="2" max="16384" width="8.8984375" style="76" customWidth="1"/>
  </cols>
  <sheetData>
    <row r="1" spans="1:2" ht="15.75">
      <c r="A1" s="316" t="s">
        <v>712</v>
      </c>
      <c r="B1" s="317"/>
    </row>
    <row r="2" spans="1:2" ht="15.75">
      <c r="A2" s="316"/>
      <c r="B2" s="317"/>
    </row>
    <row r="3" ht="35.25" customHeight="1">
      <c r="A3" s="611" t="s">
        <v>679</v>
      </c>
    </row>
    <row r="4" ht="15.75">
      <c r="A4" s="312"/>
    </row>
    <row r="5" ht="15.75">
      <c r="A5" s="312" t="s">
        <v>185</v>
      </c>
    </row>
    <row r="6" ht="15.75">
      <c r="A6" s="312"/>
    </row>
    <row r="7" ht="57.75" customHeight="1">
      <c r="A7" s="318" t="s">
        <v>222</v>
      </c>
    </row>
    <row r="8" ht="15.75">
      <c r="A8" s="312"/>
    </row>
    <row r="9" spans="1:2" ht="15.75">
      <c r="A9" s="319" t="s">
        <v>180</v>
      </c>
      <c r="B9" s="317"/>
    </row>
    <row r="10" spans="1:2" ht="15.75">
      <c r="A10" s="319"/>
      <c r="B10" s="317"/>
    </row>
    <row r="11" spans="1:2" ht="15.75">
      <c r="A11" s="312" t="s">
        <v>181</v>
      </c>
      <c r="B11" s="317"/>
    </row>
    <row r="12" ht="14.25" customHeight="1">
      <c r="A12" s="231"/>
    </row>
    <row r="13" s="310" customFormat="1" ht="42" customHeight="1">
      <c r="A13" s="313" t="s">
        <v>223</v>
      </c>
    </row>
    <row r="16" ht="15.75">
      <c r="A16" s="319" t="s">
        <v>5</v>
      </c>
    </row>
    <row r="17" ht="15.75">
      <c r="A17" s="231"/>
    </row>
    <row r="18" ht="15.75">
      <c r="A18" s="132" t="s">
        <v>175</v>
      </c>
    </row>
    <row r="19" ht="17.25" customHeight="1">
      <c r="A19" s="313" t="s">
        <v>116</v>
      </c>
    </row>
    <row r="20" ht="24.75" customHeight="1">
      <c r="A20" s="320" t="s">
        <v>115</v>
      </c>
    </row>
    <row r="21" ht="52.5" customHeight="1">
      <c r="A21" s="357" t="s">
        <v>117</v>
      </c>
    </row>
    <row r="22" ht="20.25" customHeight="1">
      <c r="A22" s="314" t="s">
        <v>153</v>
      </c>
    </row>
    <row r="23" s="321" customFormat="1" ht="20.25" customHeight="1">
      <c r="A23" s="169" t="s">
        <v>179</v>
      </c>
    </row>
    <row r="24" ht="21" customHeight="1">
      <c r="A24" s="313" t="s">
        <v>75</v>
      </c>
    </row>
    <row r="25" ht="15.75">
      <c r="A25" s="231"/>
    </row>
    <row r="26" ht="15.75">
      <c r="A26" s="311" t="s">
        <v>250</v>
      </c>
    </row>
    <row r="28" ht="21" customHeight="1">
      <c r="A28" s="310" t="s">
        <v>128</v>
      </c>
    </row>
    <row r="30" ht="71.25" customHeight="1">
      <c r="A30" s="310" t="s">
        <v>616</v>
      </c>
    </row>
    <row r="31" ht="49.5" customHeight="1">
      <c r="A31" s="315" t="s">
        <v>178</v>
      </c>
    </row>
    <row r="32" ht="88.5" customHeight="1">
      <c r="A32" s="602" t="s">
        <v>655</v>
      </c>
    </row>
    <row r="34" ht="71.25" customHeight="1">
      <c r="A34" s="310" t="s">
        <v>656</v>
      </c>
    </row>
    <row r="35" ht="57.75" customHeight="1">
      <c r="A35" s="310" t="s">
        <v>657</v>
      </c>
    </row>
    <row r="36" ht="105" customHeight="1">
      <c r="A36" s="310" t="s">
        <v>658</v>
      </c>
    </row>
    <row r="37" ht="15.75">
      <c r="A37" s="310"/>
    </row>
    <row r="38" ht="52.5" customHeight="1">
      <c r="A38" s="603" t="s">
        <v>659</v>
      </c>
    </row>
    <row r="39" ht="52.5" customHeight="1">
      <c r="A39" s="604" t="s">
        <v>660</v>
      </c>
    </row>
    <row r="40" ht="51" customHeight="1">
      <c r="A40" s="604" t="s">
        <v>661</v>
      </c>
    </row>
    <row r="41" ht="15.75">
      <c r="A41" s="310"/>
    </row>
    <row r="42" ht="70.5" customHeight="1">
      <c r="A42" s="310" t="s">
        <v>291</v>
      </c>
    </row>
    <row r="43" ht="83.25" customHeight="1">
      <c r="A43" s="605" t="s">
        <v>681</v>
      </c>
    </row>
    <row r="44" ht="39" customHeight="1">
      <c r="A44" s="605" t="s">
        <v>662</v>
      </c>
    </row>
    <row r="45" ht="15.75">
      <c r="A45" s="310"/>
    </row>
    <row r="46" ht="71.25" customHeight="1">
      <c r="A46" s="605" t="s">
        <v>682</v>
      </c>
    </row>
    <row r="47" ht="130.5" customHeight="1">
      <c r="A47" s="605" t="s">
        <v>683</v>
      </c>
    </row>
    <row r="48" ht="40.5" customHeight="1">
      <c r="A48" s="605" t="s">
        <v>684</v>
      </c>
    </row>
    <row r="50" ht="51.75" customHeight="1">
      <c r="A50" s="605" t="s">
        <v>663</v>
      </c>
    </row>
    <row r="52" ht="35.25" customHeight="1">
      <c r="A52" s="310" t="s">
        <v>292</v>
      </c>
    </row>
    <row r="53" ht="23.25" customHeight="1">
      <c r="A53" s="76" t="s">
        <v>293</v>
      </c>
    </row>
    <row r="54" ht="79.5" customHeight="1">
      <c r="A54" s="310" t="s">
        <v>503</v>
      </c>
    </row>
    <row r="55" ht="29.25" customHeight="1">
      <c r="A55" s="323" t="s">
        <v>294</v>
      </c>
    </row>
    <row r="57" ht="72" customHeight="1">
      <c r="A57" s="310" t="s">
        <v>295</v>
      </c>
    </row>
    <row r="59" ht="67.5" customHeight="1">
      <c r="A59" s="310" t="s">
        <v>296</v>
      </c>
    </row>
    <row r="60" ht="15.75">
      <c r="A60" s="310"/>
    </row>
    <row r="61" ht="53.25" customHeight="1">
      <c r="A61" s="310" t="s">
        <v>297</v>
      </c>
    </row>
    <row r="62" ht="93.75" customHeight="1">
      <c r="A62" s="433" t="s">
        <v>664</v>
      </c>
    </row>
    <row r="63" ht="68.25" customHeight="1">
      <c r="A63" s="433" t="s">
        <v>665</v>
      </c>
    </row>
    <row r="64" ht="66" customHeight="1">
      <c r="A64" s="604" t="s">
        <v>666</v>
      </c>
    </row>
    <row r="65" ht="69" customHeight="1">
      <c r="A65" s="310" t="s">
        <v>667</v>
      </c>
    </row>
    <row r="66" ht="90" customHeight="1">
      <c r="A66" s="310" t="s">
        <v>668</v>
      </c>
    </row>
    <row r="67" ht="114.75" customHeight="1">
      <c r="A67" s="324" t="s">
        <v>669</v>
      </c>
    </row>
    <row r="68" ht="105" customHeight="1">
      <c r="A68" s="325" t="s">
        <v>670</v>
      </c>
    </row>
    <row r="69" ht="69.75" customHeight="1">
      <c r="A69" s="326" t="s">
        <v>671</v>
      </c>
    </row>
    <row r="70" ht="91.5" customHeight="1">
      <c r="A70" s="310" t="s">
        <v>672</v>
      </c>
    </row>
    <row r="71" ht="109.5" customHeight="1">
      <c r="A71" s="327" t="s">
        <v>673</v>
      </c>
    </row>
    <row r="72" ht="11.25" customHeight="1">
      <c r="A72" s="310"/>
    </row>
    <row r="73" ht="120.75" customHeight="1">
      <c r="A73" s="310" t="s">
        <v>298</v>
      </c>
    </row>
    <row r="74" ht="108" customHeight="1">
      <c r="A74" s="343" t="s">
        <v>299</v>
      </c>
    </row>
    <row r="75" ht="66" customHeight="1">
      <c r="A75" s="343" t="s">
        <v>300</v>
      </c>
    </row>
    <row r="76" ht="21" customHeight="1">
      <c r="A76" s="310" t="s">
        <v>301</v>
      </c>
    </row>
    <row r="77" ht="11.25" customHeight="1">
      <c r="A77" s="310"/>
    </row>
    <row r="78" s="310" customFormat="1" ht="50.25" customHeight="1">
      <c r="A78" s="310" t="s">
        <v>302</v>
      </c>
    </row>
    <row r="79" s="310" customFormat="1" ht="23.25" customHeight="1">
      <c r="A79" s="310" t="s">
        <v>303</v>
      </c>
    </row>
    <row r="80" s="310" customFormat="1" ht="36" customHeight="1">
      <c r="A80" s="433" t="s">
        <v>674</v>
      </c>
    </row>
    <row r="81" s="310" customFormat="1" ht="106.5" customHeight="1">
      <c r="A81" s="433" t="s">
        <v>675</v>
      </c>
    </row>
    <row r="82" s="310" customFormat="1" ht="133.5" customHeight="1">
      <c r="A82" s="605" t="s">
        <v>676</v>
      </c>
    </row>
    <row r="83" s="310" customFormat="1" ht="77.25" customHeight="1">
      <c r="A83" s="605" t="s">
        <v>677</v>
      </c>
    </row>
    <row r="84" s="310" customFormat="1" ht="54" customHeight="1">
      <c r="A84" s="310" t="s">
        <v>678</v>
      </c>
    </row>
    <row r="86" s="310" customFormat="1" ht="33.75" customHeight="1">
      <c r="A86" s="310" t="s">
        <v>304</v>
      </c>
    </row>
    <row r="88" ht="21.75" customHeight="1">
      <c r="A88" s="310" t="s">
        <v>305</v>
      </c>
    </row>
    <row r="90" ht="49.5" customHeight="1">
      <c r="A90" s="433" t="s">
        <v>617</v>
      </c>
    </row>
    <row r="91" ht="89.25" customHeight="1">
      <c r="A91" s="433" t="s">
        <v>618</v>
      </c>
    </row>
    <row r="92" ht="102" customHeight="1">
      <c r="A92" s="433" t="s">
        <v>619</v>
      </c>
    </row>
    <row r="95" ht="15.75">
      <c r="A95" s="311" t="s">
        <v>251</v>
      </c>
    </row>
    <row r="96" ht="38.25" customHeight="1">
      <c r="A96" s="310" t="s">
        <v>620</v>
      </c>
    </row>
    <row r="97" ht="19.5" customHeight="1">
      <c r="A97" s="310" t="s">
        <v>621</v>
      </c>
    </row>
    <row r="98" ht="68.25" customHeight="1">
      <c r="A98" s="310" t="s">
        <v>622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1"/>
  <sheetViews>
    <sheetView zoomScale="75" zoomScaleNormal="75" zoomScalePageLayoutView="0" workbookViewId="0" topLeftCell="A1">
      <selection activeCell="X86" sqref="X86"/>
    </sheetView>
  </sheetViews>
  <sheetFormatPr defaultColWidth="8.796875" defaultRowHeight="15"/>
  <cols>
    <col min="1" max="1" width="6.69921875" style="3" customWidth="1"/>
    <col min="2" max="2" width="20.796875" style="3" customWidth="1"/>
    <col min="3" max="3" width="9.796875" style="3" customWidth="1"/>
    <col min="4" max="4" width="10.796875" style="3" customWidth="1"/>
    <col min="5" max="5" width="12.8984375" style="3" customWidth="1"/>
    <col min="6" max="6" width="16.19921875" style="3" customWidth="1"/>
    <col min="7" max="12" width="9.796875" style="3" customWidth="1"/>
    <col min="13" max="16384" width="8.8984375" style="3" customWidth="1"/>
  </cols>
  <sheetData>
    <row r="1" spans="2:12" ht="15.75">
      <c r="B1" s="1">
        <f>inputPrYr!$D$3</f>
        <v>0</v>
      </c>
      <c r="C1" s="1"/>
      <c r="D1" s="1"/>
      <c r="E1" s="1"/>
      <c r="F1" s="1"/>
      <c r="G1" s="1"/>
      <c r="H1" s="1"/>
      <c r="I1" s="1"/>
      <c r="J1" s="1"/>
      <c r="K1" s="1"/>
      <c r="L1" s="42">
        <f>inputPrYr!D6</f>
        <v>0</v>
      </c>
    </row>
    <row r="2" spans="2:12" ht="15.75">
      <c r="B2" s="1">
        <f>inputPrYr!$D$4</f>
        <v>0</v>
      </c>
      <c r="C2" s="1"/>
      <c r="D2" s="1"/>
      <c r="E2" s="1"/>
      <c r="F2" s="1"/>
      <c r="G2" s="1"/>
      <c r="H2" s="1"/>
      <c r="I2" s="1"/>
      <c r="J2" s="1"/>
      <c r="K2" s="1"/>
      <c r="L2" s="4"/>
    </row>
    <row r="3" spans="2:12" ht="15.75">
      <c r="B3" s="1"/>
      <c r="C3" s="1"/>
      <c r="D3" s="1"/>
      <c r="E3" s="1"/>
      <c r="F3" s="1"/>
      <c r="G3" s="1"/>
      <c r="H3" s="1"/>
      <c r="I3" s="1"/>
      <c r="J3" s="1"/>
      <c r="K3" s="1"/>
      <c r="L3" s="4"/>
    </row>
    <row r="4" spans="2:12" s="45" customFormat="1" ht="15.75">
      <c r="B4" s="43" t="s">
        <v>82</v>
      </c>
      <c r="C4" s="44"/>
      <c r="D4" s="44"/>
      <c r="E4" s="7"/>
      <c r="F4" s="44"/>
      <c r="G4" s="44"/>
      <c r="H4" s="44"/>
      <c r="I4" s="44"/>
      <c r="J4" s="44"/>
      <c r="K4" s="44"/>
      <c r="L4" s="44"/>
    </row>
    <row r="5" spans="2:12" s="45" customFormat="1" ht="15.75">
      <c r="B5" s="46"/>
      <c r="C5" s="46"/>
      <c r="D5" s="46"/>
      <c r="E5" s="46"/>
      <c r="F5" s="46"/>
      <c r="G5" s="46"/>
      <c r="H5" s="46"/>
      <c r="I5" s="46"/>
      <c r="J5" s="46"/>
      <c r="K5" s="46"/>
      <c r="L5" s="46"/>
    </row>
    <row r="6" spans="2:12" s="45" customFormat="1" ht="15.75">
      <c r="B6" s="47" t="s">
        <v>629</v>
      </c>
      <c r="C6" s="47" t="s">
        <v>59</v>
      </c>
      <c r="D6" s="47" t="s">
        <v>67</v>
      </c>
      <c r="E6" s="47"/>
      <c r="F6" s="47" t="s">
        <v>31</v>
      </c>
      <c r="G6" s="48"/>
      <c r="H6" s="49"/>
      <c r="I6" s="48" t="s">
        <v>60</v>
      </c>
      <c r="J6" s="49"/>
      <c r="K6" s="48" t="s">
        <v>60</v>
      </c>
      <c r="L6" s="49"/>
    </row>
    <row r="7" spans="2:12" s="45" customFormat="1" ht="15.75">
      <c r="B7" s="50" t="s">
        <v>630</v>
      </c>
      <c r="C7" s="50" t="s">
        <v>61</v>
      </c>
      <c r="D7" s="50" t="s">
        <v>62</v>
      </c>
      <c r="E7" s="50" t="s">
        <v>31</v>
      </c>
      <c r="F7" s="50" t="s">
        <v>118</v>
      </c>
      <c r="G7" s="51" t="s">
        <v>63</v>
      </c>
      <c r="H7" s="52"/>
      <c r="I7" s="51">
        <f>L1-1</f>
        <v>-1</v>
      </c>
      <c r="J7" s="52"/>
      <c r="K7" s="51">
        <f>L1</f>
        <v>0</v>
      </c>
      <c r="L7" s="52"/>
    </row>
    <row r="8" spans="2:12" s="45" customFormat="1" ht="15.75">
      <c r="B8" s="9" t="s">
        <v>631</v>
      </c>
      <c r="C8" s="9" t="s">
        <v>64</v>
      </c>
      <c r="D8" s="9" t="s">
        <v>43</v>
      </c>
      <c r="E8" s="9" t="s">
        <v>65</v>
      </c>
      <c r="F8" s="53" t="str">
        <f>CONCATENATE("Jan 1,",L1-1,"")</f>
        <v>Jan 1,-1</v>
      </c>
      <c r="G8" s="10" t="s">
        <v>67</v>
      </c>
      <c r="H8" s="10" t="s">
        <v>68</v>
      </c>
      <c r="I8" s="10" t="s">
        <v>67</v>
      </c>
      <c r="J8" s="10" t="s">
        <v>68</v>
      </c>
      <c r="K8" s="10" t="s">
        <v>67</v>
      </c>
      <c r="L8" s="10" t="s">
        <v>68</v>
      </c>
    </row>
    <row r="9" spans="2:12" s="45" customFormat="1" ht="15.75">
      <c r="B9" s="14" t="s">
        <v>154</v>
      </c>
      <c r="C9" s="54"/>
      <c r="D9" s="14"/>
      <c r="E9" s="14"/>
      <c r="F9" s="14"/>
      <c r="G9" s="55"/>
      <c r="H9" s="55"/>
      <c r="I9" s="14"/>
      <c r="J9" s="14"/>
      <c r="K9" s="14"/>
      <c r="L9" s="14"/>
    </row>
    <row r="10" spans="2:12" s="45" customFormat="1" ht="15.75">
      <c r="B10" s="56"/>
      <c r="C10" s="379"/>
      <c r="D10" s="56"/>
      <c r="E10" s="56"/>
      <c r="F10" s="57"/>
      <c r="G10" s="58"/>
      <c r="H10" s="58"/>
      <c r="I10" s="56"/>
      <c r="J10" s="56"/>
      <c r="K10" s="56"/>
      <c r="L10" s="56"/>
    </row>
    <row r="11" spans="2:12" s="45" customFormat="1" ht="15.75">
      <c r="B11" s="59"/>
      <c r="C11" s="380"/>
      <c r="D11" s="60"/>
      <c r="E11" s="61"/>
      <c r="F11" s="61"/>
      <c r="G11" s="62"/>
      <c r="H11" s="62"/>
      <c r="I11" s="63"/>
      <c r="J11" s="63"/>
      <c r="K11" s="63"/>
      <c r="L11" s="63"/>
    </row>
    <row r="12" spans="2:12" s="45" customFormat="1" ht="15.75">
      <c r="B12" s="64" t="s">
        <v>155</v>
      </c>
      <c r="C12" s="65"/>
      <c r="D12" s="66"/>
      <c r="E12" s="67"/>
      <c r="F12" s="68">
        <f>SUM(F10:F11)</f>
        <v>0</v>
      </c>
      <c r="G12" s="69"/>
      <c r="H12" s="69"/>
      <c r="I12" s="68">
        <f>SUM(I10:I11)</f>
        <v>0</v>
      </c>
      <c r="J12" s="68">
        <f>SUM(J10:J11)</f>
        <v>0</v>
      </c>
      <c r="K12" s="68">
        <f>SUM(K10:K11)</f>
        <v>0</v>
      </c>
      <c r="L12" s="68">
        <f>SUM(L10:L11)</f>
        <v>0</v>
      </c>
    </row>
    <row r="13" spans="2:12" s="45" customFormat="1" ht="15.75">
      <c r="B13" s="64" t="s">
        <v>156</v>
      </c>
      <c r="C13" s="65"/>
      <c r="D13" s="66"/>
      <c r="E13" s="67"/>
      <c r="F13" s="12"/>
      <c r="G13" s="69"/>
      <c r="H13" s="69"/>
      <c r="I13" s="12"/>
      <c r="J13" s="12"/>
      <c r="K13" s="12"/>
      <c r="L13" s="12"/>
    </row>
    <row r="14" spans="2:12" s="45" customFormat="1" ht="15.75">
      <c r="B14" s="59"/>
      <c r="C14" s="380"/>
      <c r="D14" s="60"/>
      <c r="E14" s="61"/>
      <c r="F14" s="63"/>
      <c r="G14" s="62"/>
      <c r="H14" s="62"/>
      <c r="I14" s="63"/>
      <c r="J14" s="63"/>
      <c r="K14" s="63"/>
      <c r="L14" s="63"/>
    </row>
    <row r="15" spans="2:12" s="45" customFormat="1" ht="15.75">
      <c r="B15" s="59"/>
      <c r="C15" s="380"/>
      <c r="D15" s="60"/>
      <c r="E15" s="61"/>
      <c r="F15" s="63"/>
      <c r="G15" s="62"/>
      <c r="H15" s="62"/>
      <c r="I15" s="63"/>
      <c r="J15" s="63"/>
      <c r="K15" s="63"/>
      <c r="L15" s="63"/>
    </row>
    <row r="16" spans="2:12" s="45" customFormat="1" ht="15.75">
      <c r="B16" s="64" t="s">
        <v>157</v>
      </c>
      <c r="C16" s="65"/>
      <c r="D16" s="66"/>
      <c r="E16" s="67"/>
      <c r="F16" s="12">
        <f>SUM(F14:F15)</f>
        <v>0</v>
      </c>
      <c r="G16" s="69"/>
      <c r="H16" s="69"/>
      <c r="I16" s="68">
        <f>SUM(I14:I15)</f>
        <v>0</v>
      </c>
      <c r="J16" s="68">
        <f>SUM(J14:J15)</f>
        <v>0</v>
      </c>
      <c r="K16" s="68">
        <f>SUM(K14:K15)</f>
        <v>0</v>
      </c>
      <c r="L16" s="68">
        <f>SUM(L14:L15)</f>
        <v>0</v>
      </c>
    </row>
    <row r="17" spans="2:12" s="45" customFormat="1" ht="15.75">
      <c r="B17" s="64" t="s">
        <v>158</v>
      </c>
      <c r="C17" s="65"/>
      <c r="D17" s="66"/>
      <c r="E17" s="67"/>
      <c r="F17" s="12"/>
      <c r="G17" s="69"/>
      <c r="H17" s="69"/>
      <c r="I17" s="12"/>
      <c r="J17" s="12"/>
      <c r="K17" s="12"/>
      <c r="L17" s="12"/>
    </row>
    <row r="18" spans="2:12" s="45" customFormat="1" ht="15.75">
      <c r="B18" s="59"/>
      <c r="C18" s="380"/>
      <c r="D18" s="60"/>
      <c r="E18" s="61"/>
      <c r="F18" s="63"/>
      <c r="G18" s="62"/>
      <c r="H18" s="62"/>
      <c r="I18" s="63"/>
      <c r="J18" s="63"/>
      <c r="K18" s="63"/>
      <c r="L18" s="63"/>
    </row>
    <row r="19" spans="2:12" s="45" customFormat="1" ht="15.75">
      <c r="B19" s="59"/>
      <c r="C19" s="380"/>
      <c r="D19" s="60"/>
      <c r="E19" s="61"/>
      <c r="F19" s="63"/>
      <c r="G19" s="62"/>
      <c r="H19" s="62"/>
      <c r="I19" s="63"/>
      <c r="J19" s="63"/>
      <c r="K19" s="63"/>
      <c r="L19" s="63"/>
    </row>
    <row r="20" spans="2:12" s="45" customFormat="1" ht="15.75">
      <c r="B20" s="11" t="s">
        <v>159</v>
      </c>
      <c r="C20" s="70"/>
      <c r="D20" s="71"/>
      <c r="E20" s="72"/>
      <c r="F20" s="68">
        <f>SUM(F18:F19)</f>
        <v>0</v>
      </c>
      <c r="G20" s="69"/>
      <c r="H20" s="69"/>
      <c r="I20" s="68">
        <f>SUM(I18:I19)</f>
        <v>0</v>
      </c>
      <c r="J20" s="68">
        <f>SUM(J18:J19)</f>
        <v>0</v>
      </c>
      <c r="K20" s="68">
        <f>SUM(K18:K19)</f>
        <v>0</v>
      </c>
      <c r="L20" s="68">
        <f>SUM(L18:L19)</f>
        <v>0</v>
      </c>
    </row>
    <row r="21" spans="2:12" s="45" customFormat="1" ht="15.75">
      <c r="B21" s="73" t="s">
        <v>83</v>
      </c>
      <c r="C21" s="511"/>
      <c r="D21" s="511"/>
      <c r="E21" s="512"/>
      <c r="F21" s="74">
        <f>SUM(F12+F16+F20)</f>
        <v>0</v>
      </c>
      <c r="G21" s="511"/>
      <c r="H21" s="511"/>
      <c r="I21" s="74">
        <f>SUM(I12+I16+I20)</f>
        <v>0</v>
      </c>
      <c r="J21" s="74">
        <f>SUM(J12+J16+J20)</f>
        <v>0</v>
      </c>
      <c r="K21" s="74">
        <f>SUM(K12+K16+K20)</f>
        <v>0</v>
      </c>
      <c r="L21" s="74">
        <f>SUM(L12+L16+L20)</f>
        <v>0</v>
      </c>
    </row>
    <row r="22" spans="2:25" s="45" customFormat="1" ht="15.75">
      <c r="B22" s="1"/>
      <c r="C22" s="1"/>
      <c r="D22" s="75"/>
      <c r="E22" s="75"/>
      <c r="F22" s="75"/>
      <c r="G22" s="75"/>
      <c r="H22" s="75"/>
      <c r="I22" s="75"/>
      <c r="J22" s="75"/>
      <c r="K22" s="75"/>
      <c r="L22" s="75"/>
      <c r="M22" s="76"/>
      <c r="N22" s="76"/>
      <c r="O22" s="76"/>
      <c r="P22" s="76"/>
      <c r="Q22" s="76"/>
      <c r="R22" s="76"/>
      <c r="S22" s="76"/>
      <c r="T22" s="76"/>
      <c r="U22" s="76"/>
      <c r="V22" s="76"/>
      <c r="W22" s="76"/>
      <c r="X22" s="76"/>
      <c r="Y22" s="76"/>
    </row>
    <row r="23" spans="2:12" s="79" customFormat="1" ht="15.75">
      <c r="B23" s="810" t="s">
        <v>77</v>
      </c>
      <c r="C23" s="769"/>
      <c r="D23" s="769"/>
      <c r="E23" s="769"/>
      <c r="F23" s="769"/>
      <c r="G23" s="769"/>
      <c r="H23" s="769"/>
      <c r="I23" s="769"/>
      <c r="J23" s="77"/>
      <c r="K23" s="77"/>
      <c r="L23" s="78"/>
    </row>
    <row r="24" spans="2:12" s="79" customFormat="1" ht="15.75">
      <c r="B24" s="75"/>
      <c r="C24" s="80"/>
      <c r="D24" s="80"/>
      <c r="E24" s="80"/>
      <c r="F24" s="80"/>
      <c r="G24" s="80"/>
      <c r="H24" s="80"/>
      <c r="I24" s="80"/>
      <c r="J24" s="81"/>
      <c r="K24" s="81"/>
      <c r="L24" s="78"/>
    </row>
    <row r="25" spans="2:12" s="79" customFormat="1" ht="15.75">
      <c r="B25" s="82"/>
      <c r="C25" s="82"/>
      <c r="D25" s="47" t="s">
        <v>66</v>
      </c>
      <c r="E25" s="82"/>
      <c r="F25" s="47" t="s">
        <v>11</v>
      </c>
      <c r="G25" s="82"/>
      <c r="H25" s="82"/>
      <c r="I25" s="82"/>
      <c r="J25" s="83"/>
      <c r="K25" s="84"/>
      <c r="L25" s="78"/>
    </row>
    <row r="26" spans="2:12" s="79" customFormat="1" ht="15.75">
      <c r="B26" s="85"/>
      <c r="C26" s="50"/>
      <c r="D26" s="50" t="s">
        <v>61</v>
      </c>
      <c r="E26" s="50" t="s">
        <v>67</v>
      </c>
      <c r="F26" s="50" t="s">
        <v>31</v>
      </c>
      <c r="G26" s="50" t="s">
        <v>68</v>
      </c>
      <c r="H26" s="50" t="s">
        <v>69</v>
      </c>
      <c r="I26" s="50" t="s">
        <v>69</v>
      </c>
      <c r="J26" s="78"/>
      <c r="K26" s="78"/>
      <c r="L26" s="78"/>
    </row>
    <row r="27" spans="2:12" s="79" customFormat="1" ht="15.75">
      <c r="B27" s="50" t="s">
        <v>633</v>
      </c>
      <c r="C27" s="50" t="s">
        <v>70</v>
      </c>
      <c r="D27" s="50" t="s">
        <v>71</v>
      </c>
      <c r="E27" s="50" t="s">
        <v>62</v>
      </c>
      <c r="F27" s="50" t="s">
        <v>72</v>
      </c>
      <c r="G27" s="50" t="s">
        <v>108</v>
      </c>
      <c r="H27" s="50" t="s">
        <v>73</v>
      </c>
      <c r="I27" s="50" t="s">
        <v>73</v>
      </c>
      <c r="J27" s="78"/>
      <c r="K27" s="78"/>
      <c r="L27" s="78"/>
    </row>
    <row r="28" spans="2:12" s="79" customFormat="1" ht="15.75">
      <c r="B28" s="9" t="s">
        <v>632</v>
      </c>
      <c r="C28" s="9" t="s">
        <v>59</v>
      </c>
      <c r="D28" s="87" t="s">
        <v>74</v>
      </c>
      <c r="E28" s="9" t="s">
        <v>43</v>
      </c>
      <c r="F28" s="87" t="s">
        <v>119</v>
      </c>
      <c r="G28" s="53" t="str">
        <f>F8</f>
        <v>Jan 1,-1</v>
      </c>
      <c r="H28" s="9">
        <f>L1-1</f>
        <v>-1</v>
      </c>
      <c r="I28" s="9">
        <f>L1</f>
        <v>0</v>
      </c>
      <c r="J28" s="78"/>
      <c r="K28" s="78"/>
      <c r="L28" s="78"/>
    </row>
    <row r="29" spans="2:12" s="79" customFormat="1" ht="15.75">
      <c r="B29" s="59"/>
      <c r="C29" s="380"/>
      <c r="D29" s="88"/>
      <c r="E29" s="60"/>
      <c r="F29" s="61"/>
      <c r="G29" s="61"/>
      <c r="H29" s="61"/>
      <c r="I29" s="61"/>
      <c r="J29" s="78"/>
      <c r="K29" s="78"/>
      <c r="L29" s="78"/>
    </row>
    <row r="30" spans="2:12" s="79" customFormat="1" ht="15.75">
      <c r="B30" s="59"/>
      <c r="C30" s="380"/>
      <c r="D30" s="88"/>
      <c r="E30" s="60"/>
      <c r="F30" s="61"/>
      <c r="G30" s="61"/>
      <c r="H30" s="61"/>
      <c r="I30" s="61"/>
      <c r="J30" s="78"/>
      <c r="K30" s="78"/>
      <c r="L30" s="78"/>
    </row>
    <row r="31" spans="2:12" s="79" customFormat="1" ht="15.75">
      <c r="B31" s="59"/>
      <c r="C31" s="380"/>
      <c r="D31" s="88"/>
      <c r="E31" s="60"/>
      <c r="F31" s="61"/>
      <c r="G31" s="61"/>
      <c r="H31" s="61"/>
      <c r="I31" s="61"/>
      <c r="J31" s="78"/>
      <c r="K31" s="78"/>
      <c r="L31" s="78"/>
    </row>
    <row r="32" spans="2:12" s="79" customFormat="1" ht="15.75">
      <c r="B32" s="59"/>
      <c r="C32" s="380"/>
      <c r="D32" s="88"/>
      <c r="E32" s="60"/>
      <c r="F32" s="61"/>
      <c r="G32" s="61"/>
      <c r="H32" s="61"/>
      <c r="I32" s="61"/>
      <c r="J32" s="78"/>
      <c r="K32" s="78"/>
      <c r="L32" s="78"/>
    </row>
    <row r="33" spans="2:12" s="79" customFormat="1" ht="15.75">
      <c r="B33" s="59"/>
      <c r="C33" s="380"/>
      <c r="D33" s="88"/>
      <c r="E33" s="60"/>
      <c r="F33" s="61"/>
      <c r="G33" s="61"/>
      <c r="H33" s="61"/>
      <c r="I33" s="61"/>
      <c r="J33" s="78"/>
      <c r="K33" s="78"/>
      <c r="L33" s="78"/>
    </row>
    <row r="34" spans="2:12" s="79" customFormat="1" ht="15.75">
      <c r="B34" s="59"/>
      <c r="C34" s="380"/>
      <c r="D34" s="88"/>
      <c r="E34" s="60"/>
      <c r="F34" s="61"/>
      <c r="G34" s="61"/>
      <c r="H34" s="61"/>
      <c r="I34" s="61"/>
      <c r="J34" s="78"/>
      <c r="K34" s="78"/>
      <c r="L34" s="78"/>
    </row>
    <row r="35" spans="2:12" s="79" customFormat="1" ht="15.75">
      <c r="B35" s="59"/>
      <c r="C35" s="380"/>
      <c r="D35" s="88"/>
      <c r="E35" s="60"/>
      <c r="F35" s="61"/>
      <c r="G35" s="61"/>
      <c r="H35" s="61"/>
      <c r="I35" s="61"/>
      <c r="J35" s="78"/>
      <c r="K35" s="78"/>
      <c r="L35" s="78"/>
    </row>
    <row r="36" spans="2:12" s="79" customFormat="1" ht="15.75">
      <c r="B36" s="59"/>
      <c r="C36" s="380"/>
      <c r="D36" s="88"/>
      <c r="E36" s="60"/>
      <c r="F36" s="61"/>
      <c r="G36" s="61"/>
      <c r="H36" s="61"/>
      <c r="I36" s="61"/>
      <c r="J36" s="78"/>
      <c r="K36" s="78"/>
      <c r="L36" s="78"/>
    </row>
    <row r="37" spans="2:12" s="79" customFormat="1" ht="15.75">
      <c r="B37" s="59"/>
      <c r="C37" s="380"/>
      <c r="D37" s="88"/>
      <c r="E37" s="60"/>
      <c r="F37" s="61"/>
      <c r="G37" s="61"/>
      <c r="H37" s="61"/>
      <c r="I37" s="61"/>
      <c r="J37" s="78"/>
      <c r="K37" s="78"/>
      <c r="L37" s="78"/>
    </row>
    <row r="38" spans="2:12" s="79" customFormat="1" ht="15.75">
      <c r="B38" s="59"/>
      <c r="C38" s="380"/>
      <c r="D38" s="88"/>
      <c r="E38" s="60"/>
      <c r="F38" s="61"/>
      <c r="G38" s="61"/>
      <c r="H38" s="61"/>
      <c r="I38" s="61"/>
      <c r="J38" s="78"/>
      <c r="K38" s="78"/>
      <c r="L38" s="78"/>
    </row>
    <row r="39" spans="2:12" s="45" customFormat="1" ht="15.75">
      <c r="B39" s="513"/>
      <c r="C39" s="89"/>
      <c r="D39" s="89"/>
      <c r="E39" s="514" t="s">
        <v>11</v>
      </c>
      <c r="F39" s="90">
        <f>SUM(F29:F38)</f>
        <v>0</v>
      </c>
      <c r="G39" s="91">
        <f>SUM(G29:G38)</f>
        <v>0</v>
      </c>
      <c r="H39" s="91">
        <f>SUM(H29:H38)</f>
        <v>0</v>
      </c>
      <c r="I39" s="91">
        <f>SUM(I29:I38)</f>
        <v>0</v>
      </c>
      <c r="J39" s="46"/>
      <c r="K39" s="46"/>
      <c r="L39" s="92"/>
    </row>
    <row r="40" spans="2:12" ht="15.75">
      <c r="B40" s="330" t="s">
        <v>187</v>
      </c>
      <c r="C40" s="610"/>
      <c r="D40" s="610"/>
      <c r="E40" s="610"/>
      <c r="F40" s="610"/>
      <c r="G40" s="610"/>
      <c r="H40" s="610"/>
      <c r="I40" s="6"/>
      <c r="J40" s="1"/>
      <c r="K40" s="1"/>
      <c r="L40" s="1"/>
    </row>
    <row r="41" spans="2:12" ht="15.75">
      <c r="B41" s="608"/>
      <c r="C41" s="609"/>
      <c r="D41" s="609"/>
      <c r="E41" s="609"/>
      <c r="F41" s="609"/>
      <c r="G41" s="609"/>
      <c r="H41" s="609"/>
      <c r="I41" s="6"/>
      <c r="J41" s="1"/>
      <c r="K41" s="1"/>
      <c r="L41" s="1"/>
    </row>
  </sheetData>
  <sheetProtection sheet="1" objects="1" scenarios="1"/>
  <mergeCells count="1">
    <mergeCell ref="B23:I23"/>
  </mergeCells>
  <printOptions/>
  <pageMargins left="0.5" right="0.5" top="1" bottom="0.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
      <selection activeCell="Q135" sqref="Q135"/>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8984375" style="76" customWidth="1"/>
    <col min="10" max="10" width="10" style="76" customWidth="1"/>
    <col min="11" max="16384" width="8.8984375" style="76" customWidth="1"/>
  </cols>
  <sheetData>
    <row r="1" spans="2:5" ht="15.75">
      <c r="B1" s="1">
        <f>inputPrYr!D3</f>
        <v>0</v>
      </c>
      <c r="C1" s="93"/>
      <c r="D1" s="1"/>
      <c r="E1" s="42">
        <f>inputPrYr!D6</f>
        <v>0</v>
      </c>
    </row>
    <row r="2" spans="2:5" ht="15.75">
      <c r="B2" s="1">
        <f>inputPrYr!D4</f>
        <v>0</v>
      </c>
      <c r="C2" s="93"/>
      <c r="D2" s="1"/>
      <c r="E2" s="4"/>
    </row>
    <row r="3" spans="2:6" ht="15.75">
      <c r="B3" s="94" t="s">
        <v>78</v>
      </c>
      <c r="C3" s="93"/>
      <c r="D3" s="1"/>
      <c r="E3" s="95"/>
      <c r="F3" s="623"/>
    </row>
    <row r="4" spans="2:5" ht="15.75">
      <c r="B4" s="1"/>
      <c r="C4" s="81"/>
      <c r="D4" s="81"/>
      <c r="E4" s="81"/>
    </row>
    <row r="5" spans="2:5" ht="15.75">
      <c r="B5" s="17" t="s">
        <v>32</v>
      </c>
      <c r="C5" s="366" t="s">
        <v>204</v>
      </c>
      <c r="D5" s="367" t="s">
        <v>203</v>
      </c>
      <c r="E5" s="96" t="s">
        <v>201</v>
      </c>
    </row>
    <row r="6" spans="2:5" ht="15.75">
      <c r="B6" s="397" t="str">
        <f>inputPrYr!B19</f>
        <v>General</v>
      </c>
      <c r="C6" s="368" t="str">
        <f>CONCATENATE("Actual for ",E1-2,"")</f>
        <v>Actual for -2</v>
      </c>
      <c r="D6" s="368" t="str">
        <f>CONCATENATE("Estimate for ",E1-1,"")</f>
        <v>Estimate for -1</v>
      </c>
      <c r="E6" s="97" t="str">
        <f>CONCATENATE("Year for ",E1,"")</f>
        <v>Year for 0</v>
      </c>
    </row>
    <row r="7" spans="2:5" ht="15.75">
      <c r="B7" s="98" t="s">
        <v>112</v>
      </c>
      <c r="C7" s="369"/>
      <c r="D7" s="370">
        <f>C49</f>
        <v>0</v>
      </c>
      <c r="E7" s="72">
        <f>D49</f>
        <v>0</v>
      </c>
    </row>
    <row r="8" spans="2:5" ht="15.75">
      <c r="B8" s="100" t="s">
        <v>114</v>
      </c>
      <c r="C8" s="101"/>
      <c r="D8" s="101"/>
      <c r="E8" s="12"/>
    </row>
    <row r="9" spans="2:5" ht="15.75">
      <c r="B9" s="98" t="s">
        <v>33</v>
      </c>
      <c r="C9" s="369"/>
      <c r="D9" s="370">
        <f>IF(inputPrYr!H18&gt;0,inputPrYr!G19,inputPrYr!E19)</f>
        <v>0</v>
      </c>
      <c r="E9" s="102" t="s">
        <v>26</v>
      </c>
    </row>
    <row r="10" spans="2:5" ht="15.75">
      <c r="B10" s="98" t="s">
        <v>34</v>
      </c>
      <c r="C10" s="369"/>
      <c r="D10" s="369"/>
      <c r="E10" s="63"/>
    </row>
    <row r="11" spans="2:5" ht="15.75">
      <c r="B11" s="98" t="s">
        <v>35</v>
      </c>
      <c r="C11" s="369"/>
      <c r="D11" s="369"/>
      <c r="E11" s="72">
        <f>mvalloc!D11</f>
        <v>0</v>
      </c>
    </row>
    <row r="12" spans="2:5" ht="15.75">
      <c r="B12" s="98" t="s">
        <v>36</v>
      </c>
      <c r="C12" s="369"/>
      <c r="D12" s="369"/>
      <c r="E12" s="72">
        <f>mvalloc!E11</f>
        <v>0</v>
      </c>
    </row>
    <row r="13" spans="2:5" ht="15.75">
      <c r="B13" s="101" t="s">
        <v>105</v>
      </c>
      <c r="C13" s="369"/>
      <c r="D13" s="369"/>
      <c r="E13" s="72">
        <f>mvalloc!F11</f>
        <v>0</v>
      </c>
    </row>
    <row r="14" spans="2:5" ht="15.75">
      <c r="B14" s="125" t="s">
        <v>726</v>
      </c>
      <c r="C14" s="369"/>
      <c r="D14" s="369"/>
      <c r="E14" s="72">
        <f>mvalloc!G11</f>
        <v>0</v>
      </c>
    </row>
    <row r="15" spans="2:5" ht="15.75">
      <c r="B15" s="125" t="s">
        <v>727</v>
      </c>
      <c r="C15" s="369"/>
      <c r="D15" s="369"/>
      <c r="E15" s="72">
        <f>mvalloc!H11</f>
        <v>0</v>
      </c>
    </row>
    <row r="16" spans="2:5" ht="15.75">
      <c r="B16" s="101" t="s">
        <v>137</v>
      </c>
      <c r="C16" s="369"/>
      <c r="D16" s="369"/>
      <c r="E16" s="72">
        <f>inputOth!E34</f>
        <v>0</v>
      </c>
    </row>
    <row r="17" spans="2:5" ht="15.75">
      <c r="B17" s="103"/>
      <c r="C17" s="369"/>
      <c r="D17" s="369"/>
      <c r="E17" s="63"/>
    </row>
    <row r="18" spans="2:5" ht="15.75">
      <c r="B18" s="103"/>
      <c r="C18" s="369"/>
      <c r="D18" s="369"/>
      <c r="E18" s="63"/>
    </row>
    <row r="19" spans="2:5" ht="15.75">
      <c r="B19" s="103"/>
      <c r="C19" s="369"/>
      <c r="D19" s="369"/>
      <c r="E19" s="63"/>
    </row>
    <row r="20" spans="2:5" ht="15.75">
      <c r="B20" s="103"/>
      <c r="C20" s="369"/>
      <c r="D20" s="369"/>
      <c r="E20" s="63"/>
    </row>
    <row r="21" spans="2:5" ht="15.75">
      <c r="B21" s="103"/>
      <c r="C21" s="369"/>
      <c r="D21" s="369"/>
      <c r="E21" s="63"/>
    </row>
    <row r="22" spans="2:5" ht="15.75">
      <c r="B22" s="103"/>
      <c r="C22" s="369"/>
      <c r="D22" s="369"/>
      <c r="E22" s="63"/>
    </row>
    <row r="23" spans="2:5" ht="15.75">
      <c r="B23" s="103"/>
      <c r="C23" s="369"/>
      <c r="D23" s="369"/>
      <c r="E23" s="63"/>
    </row>
    <row r="24" spans="2:5" ht="15.75">
      <c r="B24" s="103"/>
      <c r="C24" s="369"/>
      <c r="D24" s="369"/>
      <c r="E24" s="63"/>
    </row>
    <row r="25" spans="2:5" ht="15.75">
      <c r="B25" s="103" t="s">
        <v>603</v>
      </c>
      <c r="C25" s="369"/>
      <c r="D25" s="369"/>
      <c r="E25" s="63"/>
    </row>
    <row r="26" spans="2:5" ht="15.75">
      <c r="B26" s="104" t="s">
        <v>37</v>
      </c>
      <c r="C26" s="369"/>
      <c r="D26" s="369"/>
      <c r="E26" s="63"/>
    </row>
    <row r="27" spans="2:5" ht="15.75">
      <c r="B27" s="110" t="s">
        <v>177</v>
      </c>
      <c r="C27" s="369"/>
      <c r="D27" s="369"/>
      <c r="E27" s="133">
        <f>Nhood!E7*-1</f>
        <v>0</v>
      </c>
    </row>
    <row r="28" spans="2:5" ht="15.75">
      <c r="B28" s="105" t="s">
        <v>176</v>
      </c>
      <c r="C28" s="103"/>
      <c r="D28" s="103"/>
      <c r="E28" s="63"/>
    </row>
    <row r="29" spans="2:5" ht="15.75">
      <c r="B29" s="105" t="s">
        <v>605</v>
      </c>
      <c r="C29" s="371">
        <f>IF(C30*0.1&lt;C28,"Exceed 10% Rule","")</f>
      </c>
      <c r="D29" s="371">
        <f>IF(D30*0.1&lt;D28,"Exceed 10% Rule","")</f>
      </c>
      <c r="E29" s="399">
        <f>IF(E30*0.1+E55&lt;E28,"Exceed 10% Rule","")</f>
      </c>
    </row>
    <row r="30" spans="2:5" ht="15.75">
      <c r="B30" s="108" t="s">
        <v>38</v>
      </c>
      <c r="C30" s="372">
        <f>SUM(C9:C28)</f>
        <v>0</v>
      </c>
      <c r="D30" s="372">
        <f>SUM(D9:D28)</f>
        <v>0</v>
      </c>
      <c r="E30" s="109">
        <f>SUM(E9:E28)</f>
        <v>0</v>
      </c>
    </row>
    <row r="31" spans="2:5" ht="15.75">
      <c r="B31" s="108" t="s">
        <v>39</v>
      </c>
      <c r="C31" s="372">
        <f>C7+C30</f>
        <v>0</v>
      </c>
      <c r="D31" s="372">
        <f>D7+D30</f>
        <v>0</v>
      </c>
      <c r="E31" s="109">
        <f>E7+E30</f>
        <v>0</v>
      </c>
    </row>
    <row r="32" spans="2:11" ht="15.75">
      <c r="B32" s="98" t="s">
        <v>40</v>
      </c>
      <c r="C32" s="110"/>
      <c r="D32" s="110"/>
      <c r="E32" s="11"/>
      <c r="G32" s="813" t="str">
        <f>CONCATENATE("Desired Carryover Into ",E1+1,"")</f>
        <v>Desired Carryover Into 1</v>
      </c>
      <c r="H32" s="814"/>
      <c r="I32" s="814"/>
      <c r="J32" s="815"/>
      <c r="K32" s="3"/>
    </row>
    <row r="33" spans="2:11" ht="15.75">
      <c r="B33" s="103"/>
      <c r="C33" s="369"/>
      <c r="D33" s="369"/>
      <c r="E33" s="61"/>
      <c r="G33" s="547"/>
      <c r="H33" s="75"/>
      <c r="I33" s="548"/>
      <c r="J33" s="549"/>
      <c r="K33" s="3"/>
    </row>
    <row r="34" spans="2:11" ht="15.75">
      <c r="B34" s="103"/>
      <c r="C34" s="369"/>
      <c r="D34" s="369"/>
      <c r="E34" s="61"/>
      <c r="G34" s="550" t="s">
        <v>612</v>
      </c>
      <c r="H34" s="548"/>
      <c r="I34" s="548"/>
      <c r="J34" s="551">
        <v>0</v>
      </c>
      <c r="K34" s="3"/>
    </row>
    <row r="35" spans="2:11" ht="15.75">
      <c r="B35" s="103"/>
      <c r="C35" s="369"/>
      <c r="D35" s="369"/>
      <c r="E35" s="61"/>
      <c r="G35" s="547" t="s">
        <v>613</v>
      </c>
      <c r="H35" s="75"/>
      <c r="I35" s="75"/>
      <c r="J35" s="552">
        <f>IF(J34=0,"",ROUND((J34+E55-G47)/summ!F27*1000,3)-G52)</f>
      </c>
      <c r="K35" s="3"/>
    </row>
    <row r="36" spans="2:11" ht="15.75">
      <c r="B36" s="103"/>
      <c r="C36" s="369"/>
      <c r="D36" s="369"/>
      <c r="E36" s="61"/>
      <c r="G36" s="553" t="str">
        <f>CONCATENATE("",E1," Tot Exp/Non-Appr Must Be:")</f>
        <v>0 Tot Exp/Non-Appr Must Be:</v>
      </c>
      <c r="H36" s="554"/>
      <c r="I36" s="555"/>
      <c r="J36" s="556">
        <f>IF(J34&gt;0,IF(E52&lt;E21,IF(J34=G47,E52,((J34-G47)*(1-D54))+E21),E52+(J34-G47)),0)</f>
        <v>0</v>
      </c>
      <c r="K36" s="3"/>
    </row>
    <row r="37" spans="2:11" ht="15.75">
      <c r="B37" s="103"/>
      <c r="C37" s="369"/>
      <c r="D37" s="369"/>
      <c r="E37" s="61"/>
      <c r="G37" s="557" t="s">
        <v>652</v>
      </c>
      <c r="H37" s="558"/>
      <c r="I37" s="558"/>
      <c r="J37" s="559">
        <f>IF(J34&gt;0,J36-E52,0)</f>
        <v>0</v>
      </c>
      <c r="K37" s="3"/>
    </row>
    <row r="38" spans="2:11" ht="15.75">
      <c r="B38" s="103"/>
      <c r="C38" s="369"/>
      <c r="D38" s="369"/>
      <c r="E38" s="61"/>
      <c r="G38" s="3"/>
      <c r="H38" s="3"/>
      <c r="I38" s="3"/>
      <c r="J38" s="3"/>
      <c r="K38" s="3"/>
    </row>
    <row r="39" spans="2:11" ht="15.75">
      <c r="B39" s="103"/>
      <c r="C39" s="369"/>
      <c r="D39" s="369"/>
      <c r="E39" s="61"/>
      <c r="F39" s="3"/>
      <c r="G39" s="813" t="str">
        <f>CONCATENATE("Projected Carryover Into ",F3+1,"")</f>
        <v>Projected Carryover Into 1</v>
      </c>
      <c r="H39" s="814"/>
      <c r="I39" s="814"/>
      <c r="J39" s="815"/>
      <c r="K39" s="3"/>
    </row>
    <row r="40" spans="2:11" ht="15.75">
      <c r="B40" s="103"/>
      <c r="C40" s="369"/>
      <c r="D40" s="369"/>
      <c r="E40" s="61"/>
      <c r="F40" s="3"/>
      <c r="G40" s="560"/>
      <c r="H40" s="75"/>
      <c r="I40" s="75"/>
      <c r="J40" s="561"/>
      <c r="K40" s="3"/>
    </row>
    <row r="41" spans="2:11" ht="15.75">
      <c r="B41" s="103"/>
      <c r="C41" s="369"/>
      <c r="D41" s="369"/>
      <c r="E41" s="61"/>
      <c r="F41" s="3"/>
      <c r="G41" s="562">
        <f>D49</f>
        <v>0</v>
      </c>
      <c r="H41" s="563" t="str">
        <f>CONCATENATE("",E1-1," Ending Cash Balance (est.)")</f>
        <v>-1 Ending Cash Balance (est.)</v>
      </c>
      <c r="I41" s="564"/>
      <c r="J41" s="561"/>
      <c r="K41" s="3"/>
    </row>
    <row r="42" spans="2:11" ht="15.75">
      <c r="B42" s="103"/>
      <c r="C42" s="369"/>
      <c r="D42" s="369"/>
      <c r="E42" s="61"/>
      <c r="F42" s="3"/>
      <c r="G42" s="562">
        <f>E30</f>
        <v>0</v>
      </c>
      <c r="H42" s="548" t="str">
        <f>CONCATENATE("",E1," Non-AV Receipts (est.)")</f>
        <v>0 Non-AV Receipts (est.)</v>
      </c>
      <c r="I42" s="564"/>
      <c r="J42" s="561"/>
      <c r="K42" s="3"/>
    </row>
    <row r="43" spans="2:11" ht="15.75">
      <c r="B43" s="103"/>
      <c r="C43" s="369"/>
      <c r="D43" s="369"/>
      <c r="E43" s="61"/>
      <c r="F43" s="3"/>
      <c r="G43" s="565">
        <f>IF(E54&gt;0,E53,E55)</f>
        <v>0</v>
      </c>
      <c r="H43" s="548" t="str">
        <f>CONCATENATE("",E1," Ad Valorem Tax (est.)")</f>
        <v>0 Ad Valorem Tax (est.)</v>
      </c>
      <c r="I43" s="548"/>
      <c r="J43" s="561"/>
      <c r="K43" s="581">
        <f>IF(G43=E55,"","Note: Does not include Delinquent Taxes")</f>
      </c>
    </row>
    <row r="44" spans="2:11" ht="15.75">
      <c r="B44" s="103"/>
      <c r="C44" s="369"/>
      <c r="D44" s="369"/>
      <c r="E44" s="61"/>
      <c r="F44" s="3"/>
      <c r="G44" s="562">
        <f>SUM(G41:G43)</f>
        <v>0</v>
      </c>
      <c r="H44" s="548" t="str">
        <f>CONCATENATE("Total ",E1," Resources Available")</f>
        <v>Total 0 Resources Available</v>
      </c>
      <c r="I44" s="564"/>
      <c r="J44" s="561"/>
      <c r="K44" s="3"/>
    </row>
    <row r="45" spans="2:11" ht="15.75">
      <c r="B45" s="110" t="str">
        <f>CONCATENATE("Cash Forward (",E1," column)")</f>
        <v>Cash Forward (0 column)</v>
      </c>
      <c r="C45" s="369"/>
      <c r="D45" s="369"/>
      <c r="E45" s="61"/>
      <c r="F45" s="3"/>
      <c r="G45" s="566"/>
      <c r="H45" s="548"/>
      <c r="I45" s="548"/>
      <c r="J45" s="561"/>
      <c r="K45" s="3"/>
    </row>
    <row r="46" spans="2:11" ht="15.75">
      <c r="B46" s="110" t="s">
        <v>176</v>
      </c>
      <c r="C46" s="369"/>
      <c r="D46" s="369"/>
      <c r="E46" s="61"/>
      <c r="F46" s="3"/>
      <c r="G46" s="565">
        <f>ROUND(C48*0.05+C48,0)</f>
        <v>0</v>
      </c>
      <c r="H46" s="548" t="str">
        <f>CONCATENATE("Less ",E1-2," Expenditures + 5%")</f>
        <v>Less -2 Expenditures + 5%</v>
      </c>
      <c r="I46" s="564"/>
      <c r="J46" s="561"/>
      <c r="K46" s="3"/>
    </row>
    <row r="47" spans="2:11" ht="15.75">
      <c r="B47" s="110" t="s">
        <v>604</v>
      </c>
      <c r="C47" s="371">
        <f>IF(C48*0.1&lt;C46,"Exceed 10% Rule","")</f>
      </c>
      <c r="D47" s="371">
        <f>IF(D48*0.1&lt;D46,"Exceed 10% Rule","")</f>
      </c>
      <c r="E47" s="399">
        <f>IF(E48*0.1&lt;E46,"Exceed 10% Rule","")</f>
      </c>
      <c r="F47" s="3"/>
      <c r="G47" s="567">
        <f>G44-G46</f>
        <v>0</v>
      </c>
      <c r="H47" s="568" t="str">
        <f>CONCATENATE("Projected ",E1+1," Carryover (est.)")</f>
        <v>Projected 1 Carryover (est.)</v>
      </c>
      <c r="I47" s="569"/>
      <c r="J47" s="570"/>
      <c r="K47" s="3"/>
    </row>
    <row r="48" spans="2:11" ht="15.75">
      <c r="B48" s="108" t="s">
        <v>41</v>
      </c>
      <c r="C48" s="372">
        <f>SUM(C33:C46)</f>
        <v>0</v>
      </c>
      <c r="D48" s="372">
        <f>SUM(D33:D46)</f>
        <v>0</v>
      </c>
      <c r="E48" s="109">
        <f>SUM(E33:E46)</f>
        <v>0</v>
      </c>
      <c r="F48" s="3"/>
      <c r="G48" s="3"/>
      <c r="H48" s="3"/>
      <c r="I48" s="3"/>
      <c r="J48" s="3"/>
      <c r="K48" s="3"/>
    </row>
    <row r="49" spans="2:11" ht="15.75">
      <c r="B49" s="98" t="s">
        <v>113</v>
      </c>
      <c r="C49" s="373">
        <f>C31-C48</f>
        <v>0</v>
      </c>
      <c r="D49" s="373">
        <f>D31-D48</f>
        <v>0</v>
      </c>
      <c r="E49" s="102" t="s">
        <v>26</v>
      </c>
      <c r="F49" s="3"/>
      <c r="G49" s="816" t="s">
        <v>653</v>
      </c>
      <c r="H49" s="817"/>
      <c r="I49" s="817"/>
      <c r="J49" s="818"/>
      <c r="K49" s="3"/>
    </row>
    <row r="50" spans="2:11" ht="15.75">
      <c r="B50" s="17" t="str">
        <f>CONCATENATE("",E1-2,"/",E1-1,"/",E1," Budget Authority Amount:")</f>
        <v>-2/-1/0 Budget Authority Amount:</v>
      </c>
      <c r="C50" s="124">
        <f>inputOth!B44</f>
        <v>0</v>
      </c>
      <c r="D50" s="124">
        <f>inputPrYr!D19</f>
        <v>0</v>
      </c>
      <c r="E50" s="72">
        <f>E48</f>
        <v>0</v>
      </c>
      <c r="F50" s="132"/>
      <c r="G50" s="571"/>
      <c r="H50" s="563"/>
      <c r="I50" s="572"/>
      <c r="J50" s="573"/>
      <c r="K50" s="3"/>
    </row>
    <row r="51" spans="2:11" ht="15.75">
      <c r="B51" s="4"/>
      <c r="C51" s="819" t="s">
        <v>606</v>
      </c>
      <c r="D51" s="820"/>
      <c r="E51" s="63"/>
      <c r="F51" s="582">
        <f>IF(E48/0.95-E48&lt;E51,"Exceeds 5%","")</f>
      </c>
      <c r="G51" s="574" t="str">
        <f>summ!H16</f>
        <v> </v>
      </c>
      <c r="H51" s="563" t="str">
        <f>CONCATENATE("",E1," Fund Mill Rate")</f>
        <v>0 Fund Mill Rate</v>
      </c>
      <c r="I51" s="572"/>
      <c r="J51" s="573"/>
      <c r="K51" s="3"/>
    </row>
    <row r="52" spans="2:11" ht="15.75">
      <c r="B52" s="398" t="str">
        <f>CONCATENATE(C66,"     ",D66)</f>
        <v>     </v>
      </c>
      <c r="C52" s="821" t="s">
        <v>607</v>
      </c>
      <c r="D52" s="822"/>
      <c r="E52" s="72">
        <f>E48+E51</f>
        <v>0</v>
      </c>
      <c r="F52" s="3"/>
      <c r="G52" s="575" t="str">
        <f>summ!E16</f>
        <v>  </v>
      </c>
      <c r="H52" s="563" t="str">
        <f>CONCATENATE("",E1-1," Fund Mill Rate")</f>
        <v>-1 Fund Mill Rate</v>
      </c>
      <c r="I52" s="572"/>
      <c r="J52" s="573"/>
      <c r="K52" s="3"/>
    </row>
    <row r="53" spans="2:11" ht="15.75">
      <c r="B53" s="398" t="str">
        <f>CONCATENATE(C67,"     ",D67)</f>
        <v>     </v>
      </c>
      <c r="C53" s="432"/>
      <c r="D53" s="431" t="s">
        <v>42</v>
      </c>
      <c r="E53" s="133">
        <f>IF(E52-E31&gt;0,E52-E31,0)</f>
        <v>0</v>
      </c>
      <c r="F53" s="3"/>
      <c r="G53" s="576">
        <f>summ!H23</f>
        <v>0</v>
      </c>
      <c r="H53" s="563" t="str">
        <f>CONCATENATE("Total ",E1," Mill Rate")</f>
        <v>Total 0 Mill Rate</v>
      </c>
      <c r="I53" s="572"/>
      <c r="J53" s="573"/>
      <c r="K53" s="3"/>
    </row>
    <row r="54" spans="2:11" ht="15.75">
      <c r="B54" s="2"/>
      <c r="C54" s="430" t="s">
        <v>608</v>
      </c>
      <c r="D54" s="537">
        <f>inputOth!$E$38</f>
        <v>0</v>
      </c>
      <c r="E54" s="72">
        <f>ROUND(IF(D54&gt;0,(E53*D54),0),0)</f>
        <v>0</v>
      </c>
      <c r="F54" s="3"/>
      <c r="G54" s="575">
        <f>summ!E23</f>
        <v>0</v>
      </c>
      <c r="H54" s="577" t="str">
        <f>CONCATENATE("Total ",E1-1," Mill Rate")</f>
        <v>Total -1 Mill Rate</v>
      </c>
      <c r="I54" s="578"/>
      <c r="J54" s="282"/>
      <c r="K54" s="3"/>
    </row>
    <row r="55" spans="2:10" ht="15.75">
      <c r="B55" s="1"/>
      <c r="C55" s="823" t="str">
        <f>CONCATENATE("Amount of  ",$E$1-1," Ad Valorem Tax")</f>
        <v>Amount of  -1 Ad Valorem Tax</v>
      </c>
      <c r="D55" s="824"/>
      <c r="E55" s="133">
        <f>E53+E54</f>
        <v>0</v>
      </c>
      <c r="F55" s="3"/>
      <c r="G55" s="402"/>
      <c r="H55" s="402"/>
      <c r="I55" s="402"/>
      <c r="J55" s="402"/>
    </row>
    <row r="56" spans="2:10" ht="15.75">
      <c r="B56" s="1"/>
      <c r="C56" s="1"/>
      <c r="D56" s="1"/>
      <c r="E56" s="1"/>
      <c r="F56" s="3"/>
      <c r="G56" s="741" t="s">
        <v>734</v>
      </c>
      <c r="H56" s="723"/>
      <c r="I56" s="701"/>
      <c r="J56" s="722" t="str">
        <f>cert!D33</f>
        <v>No</v>
      </c>
    </row>
    <row r="57" spans="2:10" ht="15.75">
      <c r="B57" s="1"/>
      <c r="C57" s="93"/>
      <c r="D57" s="93"/>
      <c r="E57" s="93"/>
      <c r="F57" s="3"/>
      <c r="G57" s="702" t="str">
        <f>CONCATENATE("Computed ",E1," tax levy limit amount")</f>
        <v>Computed 0 tax levy limit amount</v>
      </c>
      <c r="H57" s="703"/>
      <c r="I57" s="703"/>
      <c r="J57" s="706">
        <f>computation!J41</f>
        <v>0</v>
      </c>
    </row>
    <row r="58" spans="2:10" ht="15.75">
      <c r="B58" s="4"/>
      <c r="C58" s="1" t="s">
        <v>184</v>
      </c>
      <c r="D58" s="1"/>
      <c r="E58" s="1"/>
      <c r="F58" s="3"/>
      <c r="G58" s="704" t="str">
        <f>CONCATENATE("Total ",E1," tax levy amount")</f>
        <v>Total 0 tax levy amount</v>
      </c>
      <c r="H58" s="705"/>
      <c r="I58" s="705"/>
      <c r="J58" s="707">
        <f>summ!G23</f>
        <v>0</v>
      </c>
    </row>
    <row r="59" spans="6:10" ht="15.75">
      <c r="F59" s="580"/>
      <c r="G59" s="538"/>
      <c r="H59" s="540"/>
      <c r="I59" s="540"/>
      <c r="J59" s="402"/>
    </row>
    <row r="60" spans="2:10" ht="15.75">
      <c r="B60" s="38"/>
      <c r="F60" s="544"/>
      <c r="G60" s="541"/>
      <c r="H60" s="540"/>
      <c r="I60" s="540"/>
      <c r="J60" s="402"/>
    </row>
    <row r="61" spans="6:10" ht="15.75">
      <c r="F61" s="544"/>
      <c r="G61" s="538"/>
      <c r="H61" s="540"/>
      <c r="I61" s="540"/>
      <c r="J61" s="402"/>
    </row>
    <row r="62" spans="7:10" ht="15.75">
      <c r="G62" s="542"/>
      <c r="H62" s="543"/>
      <c r="I62" s="540"/>
      <c r="J62" s="402"/>
    </row>
    <row r="63" spans="7:10" ht="15.75">
      <c r="G63" s="544"/>
      <c r="H63" s="544"/>
      <c r="I63" s="544"/>
      <c r="J63" s="544"/>
    </row>
    <row r="64" spans="7:10" ht="15.75">
      <c r="G64" s="811"/>
      <c r="H64" s="812"/>
      <c r="I64" s="812"/>
      <c r="J64" s="812"/>
    </row>
    <row r="65" spans="7:10" ht="15.75">
      <c r="G65" s="579"/>
      <c r="H65" s="539"/>
      <c r="I65" s="545"/>
      <c r="J65" s="546"/>
    </row>
    <row r="66" spans="3:10" ht="15.75" hidden="1">
      <c r="C66" s="76">
        <f>IF(C48&gt;C50,"See Tab A","")</f>
      </c>
      <c r="D66" s="76">
        <f>IF(D48&gt;D50,"See Tab C","")</f>
      </c>
      <c r="G66" s="579"/>
      <c r="H66" s="539"/>
      <c r="I66" s="545"/>
      <c r="J66" s="546"/>
    </row>
    <row r="67" spans="3:10" ht="15.75" hidden="1">
      <c r="C67" s="76">
        <f>IF(C49&lt;0,"See Tab B","")</f>
      </c>
      <c r="D67" s="76">
        <f>IF(D49&lt;0,"See Tab D","")</f>
      </c>
      <c r="G67" s="579"/>
      <c r="H67" s="539"/>
      <c r="I67" s="545"/>
      <c r="J67" s="546"/>
    </row>
    <row r="68" spans="7:10" ht="15.75">
      <c r="G68" s="579"/>
      <c r="H68" s="539"/>
      <c r="I68" s="545"/>
      <c r="J68" s="546"/>
    </row>
    <row r="69" spans="7:10" ht="15.75">
      <c r="G69" s="579"/>
      <c r="H69" s="539"/>
      <c r="I69" s="545"/>
      <c r="J69" s="546"/>
    </row>
  </sheetData>
  <sheetProtection sheet="1" objects="1" scenarios="1"/>
  <mergeCells count="7">
    <mergeCell ref="G64:J64"/>
    <mergeCell ref="G32:J32"/>
    <mergeCell ref="G39:J39"/>
    <mergeCell ref="G49:J49"/>
    <mergeCell ref="C51:D51"/>
    <mergeCell ref="C52:D52"/>
    <mergeCell ref="C55:D55"/>
  </mergeCells>
  <conditionalFormatting sqref="E51">
    <cfRule type="cellIs" priority="2" dxfId="62" operator="greaterThan" stopIfTrue="1">
      <formula>$E$48/0.95-$E$48</formula>
    </cfRule>
  </conditionalFormatting>
  <conditionalFormatting sqref="C46">
    <cfRule type="cellIs" priority="3" dxfId="62" operator="greaterThan" stopIfTrue="1">
      <formula>$C$48*0.1</formula>
    </cfRule>
  </conditionalFormatting>
  <conditionalFormatting sqref="D46">
    <cfRule type="cellIs" priority="4" dxfId="62" operator="greaterThan" stopIfTrue="1">
      <formula>$D$48*0.1</formula>
    </cfRule>
  </conditionalFormatting>
  <conditionalFormatting sqref="E46">
    <cfRule type="cellIs" priority="5" dxfId="62" operator="greaterThan" stopIfTrue="1">
      <formula>$E$48*0.1</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49">
    <cfRule type="cellIs" priority="8" dxfId="62" operator="lessThan" stopIfTrue="1">
      <formula>0</formula>
    </cfRule>
  </conditionalFormatting>
  <conditionalFormatting sqref="D49">
    <cfRule type="cellIs" priority="1" dxfId="0" operator="lessThan" stopIfTrue="1">
      <formula>0</formula>
    </cfRule>
  </conditionalFormatting>
  <conditionalFormatting sqref="D48">
    <cfRule type="cellIs" priority="20" dxfId="5" operator="greaterThan" stopIfTrue="1">
      <formula>$D$50</formula>
    </cfRule>
  </conditionalFormatting>
  <conditionalFormatting sqref="C48">
    <cfRule type="cellIs" priority="28" dxfId="62" operator="greaterThan" stopIfTrue="1">
      <formula>$C$50</formula>
    </cfRule>
  </conditionalFormatting>
  <conditionalFormatting sqref="E28">
    <cfRule type="cellIs" priority="91" dxfId="62" operator="greaterThan" stopIfTrue="1">
      <formula>$E$30*0.1+$E$55</formula>
    </cfRule>
  </conditionalFormatting>
  <printOptions/>
  <pageMargins left="1" right="1" top="0.5" bottom="0.5" header="0.5" footer="0.5"/>
  <pageSetup blackAndWhite="1" fitToHeight="1" fitToWidth="1" horizontalDpi="120" verticalDpi="12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Q116" sqref="Q116"/>
    </sheetView>
  </sheetViews>
  <sheetFormatPr defaultColWidth="8.796875" defaultRowHeight="15"/>
  <cols>
    <col min="1" max="1" width="2.3984375" style="3" customWidth="1"/>
    <col min="2" max="2" width="31.09765625" style="3" customWidth="1"/>
    <col min="3" max="5" width="15.796875" style="3" customWidth="1"/>
    <col min="6" max="6" width="7.3984375" style="3" customWidth="1"/>
    <col min="7" max="7" width="10.19921875" style="3" customWidth="1"/>
    <col min="8" max="8" width="8.8984375" style="3" customWidth="1"/>
    <col min="9" max="9" width="5.8984375" style="3" customWidth="1"/>
    <col min="10" max="10" width="10" style="3" customWidth="1"/>
    <col min="11" max="16384" width="8.8984375" style="3" customWidth="1"/>
  </cols>
  <sheetData>
    <row r="1" spans="2:5" ht="15.75">
      <c r="B1" s="5">
        <f>inputPrYr!D3</f>
        <v>0</v>
      </c>
      <c r="C1" s="1"/>
      <c r="D1" s="1"/>
      <c r="E1" s="114">
        <f>inputPrYr!$D$6</f>
        <v>0</v>
      </c>
    </row>
    <row r="2" spans="2:5" ht="15.75">
      <c r="B2" s="1"/>
      <c r="C2" s="1"/>
      <c r="D2" s="1"/>
      <c r="E2" s="2"/>
    </row>
    <row r="3" spans="2:5" ht="15.75">
      <c r="B3" s="94" t="s">
        <v>78</v>
      </c>
      <c r="C3" s="93"/>
      <c r="D3" s="93"/>
      <c r="E3" s="115"/>
    </row>
    <row r="4" spans="2:5" ht="15.75">
      <c r="B4" s="1"/>
      <c r="C4" s="116"/>
      <c r="D4" s="116"/>
      <c r="E4" s="116"/>
    </row>
    <row r="5" spans="2:5" ht="15.75">
      <c r="B5" s="117" t="s">
        <v>32</v>
      </c>
      <c r="C5" s="366" t="s">
        <v>204</v>
      </c>
      <c r="D5" s="367" t="s">
        <v>203</v>
      </c>
      <c r="E5" s="96" t="s">
        <v>201</v>
      </c>
    </row>
    <row r="6" spans="2:5" ht="15.75">
      <c r="B6" s="400" t="s">
        <v>226</v>
      </c>
      <c r="C6" s="368" t="str">
        <f>CONCATENATE("Actual for ",E1-2,"")</f>
        <v>Actual for -2</v>
      </c>
      <c r="D6" s="368" t="str">
        <f>CONCATENATE("Estimate for ",E1-1,"")</f>
        <v>Estimate for -1</v>
      </c>
      <c r="E6" s="97" t="str">
        <f>CONCATENATE("Year for ",E1,"")</f>
        <v>Year for 0</v>
      </c>
    </row>
    <row r="7" spans="2:5" ht="15.75">
      <c r="B7" s="119" t="s">
        <v>112</v>
      </c>
      <c r="C7" s="375"/>
      <c r="D7" s="376">
        <f>C57</f>
        <v>0</v>
      </c>
      <c r="E7" s="120">
        <f>D57</f>
        <v>0</v>
      </c>
    </row>
    <row r="8" spans="2:5" ht="15.75">
      <c r="B8" s="121" t="s">
        <v>114</v>
      </c>
      <c r="C8" s="374"/>
      <c r="D8" s="376"/>
      <c r="E8" s="120"/>
    </row>
    <row r="9" spans="2:5" ht="15.75">
      <c r="B9" s="119" t="s">
        <v>33</v>
      </c>
      <c r="C9" s="369"/>
      <c r="D9" s="374">
        <f>IF(inputPrYr!H18&gt;0,inputPrYr!G20,inputPrYr!E20)</f>
        <v>0</v>
      </c>
      <c r="E9" s="122" t="s">
        <v>26</v>
      </c>
    </row>
    <row r="10" spans="2:5" ht="15.75">
      <c r="B10" s="119" t="s">
        <v>34</v>
      </c>
      <c r="C10" s="369"/>
      <c r="D10" s="369"/>
      <c r="E10" s="123"/>
    </row>
    <row r="11" spans="2:5" ht="15.75">
      <c r="B11" s="119" t="s">
        <v>35</v>
      </c>
      <c r="C11" s="369"/>
      <c r="D11" s="369"/>
      <c r="E11" s="124">
        <f>mvalloc!D12</f>
        <v>0</v>
      </c>
    </row>
    <row r="12" spans="2:5" ht="15.75">
      <c r="B12" s="119" t="s">
        <v>36</v>
      </c>
      <c r="C12" s="369"/>
      <c r="D12" s="369"/>
      <c r="E12" s="124">
        <f>mvalloc!E12</f>
        <v>0</v>
      </c>
    </row>
    <row r="13" spans="2:5" ht="15.75">
      <c r="B13" s="125" t="s">
        <v>105</v>
      </c>
      <c r="C13" s="369"/>
      <c r="D13" s="369"/>
      <c r="E13" s="124">
        <f>mvalloc!F12</f>
        <v>0</v>
      </c>
    </row>
    <row r="14" spans="2:5" ht="15.75">
      <c r="B14" s="125" t="s">
        <v>726</v>
      </c>
      <c r="C14" s="369"/>
      <c r="D14" s="369"/>
      <c r="E14" s="124">
        <f>mvalloc!G12</f>
        <v>0</v>
      </c>
    </row>
    <row r="15" spans="2:5" ht="15.75">
      <c r="B15" s="125" t="s">
        <v>727</v>
      </c>
      <c r="C15" s="369"/>
      <c r="D15" s="369"/>
      <c r="E15" s="124">
        <f>mvalloc!H12</f>
        <v>0</v>
      </c>
    </row>
    <row r="16" spans="2:5" ht="15.75">
      <c r="B16" s="425"/>
      <c r="C16" s="369"/>
      <c r="D16" s="369"/>
      <c r="E16" s="123"/>
    </row>
    <row r="17" spans="2:5" ht="15.75">
      <c r="B17" s="425"/>
      <c r="C17" s="369"/>
      <c r="D17" s="369"/>
      <c r="E17" s="424"/>
    </row>
    <row r="18" spans="2:5" ht="15.75">
      <c r="B18" s="425"/>
      <c r="C18" s="369"/>
      <c r="D18" s="369"/>
      <c r="E18" s="424"/>
    </row>
    <row r="19" spans="2:5" ht="15.75">
      <c r="B19" s="126"/>
      <c r="C19" s="369"/>
      <c r="D19" s="369"/>
      <c r="E19" s="123"/>
    </row>
    <row r="20" spans="2:5" ht="15.75">
      <c r="B20" s="126"/>
      <c r="C20" s="369"/>
      <c r="D20" s="369"/>
      <c r="E20" s="127"/>
    </row>
    <row r="21" spans="2:5" ht="15.75">
      <c r="B21" s="126"/>
      <c r="C21" s="369"/>
      <c r="D21" s="369"/>
      <c r="E21" s="123"/>
    </row>
    <row r="22" spans="2:5" ht="15.75">
      <c r="B22" s="126"/>
      <c r="C22" s="369"/>
      <c r="D22" s="369"/>
      <c r="E22" s="123"/>
    </row>
    <row r="23" spans="2:5" ht="15.75">
      <c r="B23" s="126"/>
      <c r="C23" s="369"/>
      <c r="D23" s="369"/>
      <c r="E23" s="123"/>
    </row>
    <row r="24" spans="2:5" ht="15.75">
      <c r="B24" s="126"/>
      <c r="C24" s="369"/>
      <c r="D24" s="369"/>
      <c r="E24" s="123"/>
    </row>
    <row r="25" spans="2:5" ht="15.75">
      <c r="B25" s="126"/>
      <c r="C25" s="369"/>
      <c r="D25" s="369"/>
      <c r="E25" s="123"/>
    </row>
    <row r="26" spans="2:5" ht="15.75">
      <c r="B26" s="126"/>
      <c r="C26" s="369"/>
      <c r="D26" s="369"/>
      <c r="E26" s="123"/>
    </row>
    <row r="27" spans="2:5" ht="15.75">
      <c r="B27" s="126"/>
      <c r="C27" s="369"/>
      <c r="D27" s="369"/>
      <c r="E27" s="123"/>
    </row>
    <row r="28" spans="2:5" ht="15.75">
      <c r="B28" s="126" t="s">
        <v>136</v>
      </c>
      <c r="C28" s="369"/>
      <c r="D28" s="369"/>
      <c r="E28" s="123"/>
    </row>
    <row r="29" spans="2:5" ht="15.75">
      <c r="B29" s="128" t="s">
        <v>37</v>
      </c>
      <c r="C29" s="369"/>
      <c r="D29" s="369"/>
      <c r="E29" s="123"/>
    </row>
    <row r="30" spans="2:5" ht="15.75">
      <c r="B30" s="110" t="s">
        <v>177</v>
      </c>
      <c r="C30" s="369"/>
      <c r="D30" s="369"/>
      <c r="E30" s="36">
        <f>Nhood!E8*-1</f>
        <v>0</v>
      </c>
    </row>
    <row r="31" spans="2:5" ht="15.75">
      <c r="B31" s="105" t="s">
        <v>176</v>
      </c>
      <c r="C31" s="375"/>
      <c r="D31" s="375"/>
      <c r="E31" s="123"/>
    </row>
    <row r="32" spans="2:5" ht="15.75">
      <c r="B32" s="105" t="s">
        <v>605</v>
      </c>
      <c r="C32" s="371">
        <f>IF(C33*0.1&lt;C31,"Exceed 10% Rule","")</f>
      </c>
      <c r="D32" s="371">
        <f>IF(D33*0.1&lt;D31,"Exceed 10% Rule","")</f>
      </c>
      <c r="E32" s="399">
        <f>IF(E33*0.1+E63&lt;E31,"Exceed 10% Rule","")</f>
      </c>
    </row>
    <row r="33" spans="2:5" ht="15.75">
      <c r="B33" s="108" t="s">
        <v>38</v>
      </c>
      <c r="C33" s="377">
        <f>SUM(C9:C31)</f>
        <v>0</v>
      </c>
      <c r="D33" s="377">
        <f>SUM(D9:D31)</f>
        <v>0</v>
      </c>
      <c r="E33" s="129">
        <f>SUM(E9:E31)</f>
        <v>0</v>
      </c>
    </row>
    <row r="34" spans="2:5" ht="15.75">
      <c r="B34" s="108" t="s">
        <v>39</v>
      </c>
      <c r="C34" s="377">
        <f>C7+C33</f>
        <v>0</v>
      </c>
      <c r="D34" s="377">
        <f>D7+D33</f>
        <v>0</v>
      </c>
      <c r="E34" s="130">
        <f>E7+E33</f>
        <v>0</v>
      </c>
    </row>
    <row r="35" spans="2:5" ht="15.75">
      <c r="B35" s="121" t="s">
        <v>40</v>
      </c>
      <c r="C35" s="374"/>
      <c r="D35" s="374"/>
      <c r="E35" s="124"/>
    </row>
    <row r="36" spans="2:5" ht="15.75">
      <c r="B36" s="131"/>
      <c r="C36" s="369"/>
      <c r="D36" s="369"/>
      <c r="E36" s="123"/>
    </row>
    <row r="37" spans="2:5" ht="15.75">
      <c r="B37" s="131"/>
      <c r="C37" s="369"/>
      <c r="D37" s="369"/>
      <c r="E37" s="123"/>
    </row>
    <row r="38" spans="2:5" ht="15.75">
      <c r="B38" s="131"/>
      <c r="C38" s="369"/>
      <c r="D38" s="369"/>
      <c r="E38" s="123"/>
    </row>
    <row r="39" spans="2:11" ht="15.75">
      <c r="B39" s="131"/>
      <c r="C39" s="369"/>
      <c r="D39" s="369"/>
      <c r="E39" s="123"/>
      <c r="G39" s="813" t="str">
        <f>CONCATENATE("Desired Carryover Into ",E1+1,"")</f>
        <v>Desired Carryover Into 1</v>
      </c>
      <c r="H39" s="814"/>
      <c r="I39" s="814"/>
      <c r="J39" s="815"/>
      <c r="K39" s="583"/>
    </row>
    <row r="40" spans="2:11" ht="15.75">
      <c r="B40" s="131"/>
      <c r="C40" s="369"/>
      <c r="D40" s="369"/>
      <c r="E40" s="123"/>
      <c r="G40" s="547"/>
      <c r="H40" s="75"/>
      <c r="I40" s="548"/>
      <c r="J40" s="549"/>
      <c r="K40" s="583"/>
    </row>
    <row r="41" spans="2:11" ht="15.75">
      <c r="B41" s="131"/>
      <c r="C41" s="369"/>
      <c r="D41" s="369"/>
      <c r="E41" s="123"/>
      <c r="G41" s="550" t="s">
        <v>612</v>
      </c>
      <c r="H41" s="548"/>
      <c r="I41" s="548"/>
      <c r="J41" s="551">
        <v>0</v>
      </c>
      <c r="K41" s="583"/>
    </row>
    <row r="42" spans="2:11" ht="15.75">
      <c r="B42" s="131"/>
      <c r="C42" s="369"/>
      <c r="D42" s="369"/>
      <c r="E42" s="123"/>
      <c r="G42" s="547" t="s">
        <v>613</v>
      </c>
      <c r="H42" s="75"/>
      <c r="I42" s="75"/>
      <c r="J42" s="584">
        <f>IF(J41=0,"",ROUND((J41+E63-G54)/summ!F27*1000,3)-G59)</f>
      </c>
      <c r="K42" s="583"/>
    </row>
    <row r="43" spans="2:11" ht="15.75">
      <c r="B43" s="131"/>
      <c r="C43" s="369"/>
      <c r="D43" s="369"/>
      <c r="E43" s="123"/>
      <c r="G43" s="553" t="str">
        <f>CONCATENATE("",E1," Tot Exp/Non-Appr Must Be:")</f>
        <v>0 Tot Exp/Non-Appr Must Be:</v>
      </c>
      <c r="H43" s="554"/>
      <c r="I43" s="555"/>
      <c r="J43" s="556">
        <f>IF(J41&gt;0,IF(E60&lt;E34,IF(J41=G54,E60,((J41-G54)*(1-D62))+E34),E60+(J41-G54)),0)</f>
        <v>0</v>
      </c>
      <c r="K43" s="583"/>
    </row>
    <row r="44" spans="2:11" ht="15.75">
      <c r="B44" s="131"/>
      <c r="C44" s="369"/>
      <c r="D44" s="369"/>
      <c r="E44" s="123"/>
      <c r="G44" s="557" t="s">
        <v>652</v>
      </c>
      <c r="H44" s="558"/>
      <c r="I44" s="558"/>
      <c r="J44" s="559">
        <f>IF(J41&gt;0,J43-E60,0)</f>
        <v>0</v>
      </c>
      <c r="K44" s="583"/>
    </row>
    <row r="45" spans="2:11" ht="15.75">
      <c r="B45" s="131"/>
      <c r="C45" s="369"/>
      <c r="D45" s="369"/>
      <c r="E45" s="123"/>
      <c r="G45" s="583"/>
      <c r="H45" s="583"/>
      <c r="I45" s="583"/>
      <c r="J45" s="583"/>
      <c r="K45" s="583"/>
    </row>
    <row r="46" spans="2:11" ht="15.75">
      <c r="B46" s="131"/>
      <c r="C46" s="369"/>
      <c r="D46" s="369"/>
      <c r="E46" s="123"/>
      <c r="G46" s="813" t="str">
        <f>CONCATENATE("Projected Carryover Into ",E1+1,"")</f>
        <v>Projected Carryover Into 1</v>
      </c>
      <c r="H46" s="825"/>
      <c r="I46" s="825"/>
      <c r="J46" s="826"/>
      <c r="K46" s="583"/>
    </row>
    <row r="47" spans="2:11" ht="15.75">
      <c r="B47" s="131"/>
      <c r="C47" s="369"/>
      <c r="D47" s="369"/>
      <c r="E47" s="123"/>
      <c r="F47" s="583"/>
      <c r="G47" s="547"/>
      <c r="H47" s="548"/>
      <c r="I47" s="548"/>
      <c r="J47" s="585"/>
      <c r="K47" s="583"/>
    </row>
    <row r="48" spans="2:11" ht="15.75">
      <c r="B48" s="131"/>
      <c r="C48" s="369"/>
      <c r="D48" s="369"/>
      <c r="E48" s="123"/>
      <c r="F48" s="583"/>
      <c r="G48" s="562">
        <f>D57</f>
        <v>0</v>
      </c>
      <c r="H48" s="563" t="str">
        <f>CONCATENATE("",E1-1," Ending Cash Balance (est.)")</f>
        <v>-1 Ending Cash Balance (est.)</v>
      </c>
      <c r="I48" s="564"/>
      <c r="J48" s="585"/>
      <c r="K48" s="583"/>
    </row>
    <row r="49" spans="2:11" ht="15.75">
      <c r="B49" s="131"/>
      <c r="C49" s="369"/>
      <c r="D49" s="369"/>
      <c r="E49" s="123"/>
      <c r="F49" s="583"/>
      <c r="G49" s="562">
        <f>E33</f>
        <v>0</v>
      </c>
      <c r="H49" s="548" t="str">
        <f>CONCATENATE("",E1," Non-AV Receipts (est.)")</f>
        <v>0 Non-AV Receipts (est.)</v>
      </c>
      <c r="I49" s="564"/>
      <c r="J49" s="585"/>
      <c r="K49" s="583"/>
    </row>
    <row r="50" spans="2:11" ht="15.75">
      <c r="B50" s="131"/>
      <c r="C50" s="369"/>
      <c r="D50" s="369"/>
      <c r="E50" s="123"/>
      <c r="F50" s="583"/>
      <c r="G50" s="565">
        <f>IF(D62&gt;0,E60,E63)</f>
        <v>0</v>
      </c>
      <c r="H50" s="548" t="str">
        <f>CONCATENATE("",E1," Ad Valorem Tax (est.)")</f>
        <v>0 Ad Valorem Tax (est.)</v>
      </c>
      <c r="I50" s="564"/>
      <c r="J50" s="585"/>
      <c r="K50" s="581">
        <f>IF(G50=E63,"","Note: Does not include Delinquent Taxes")</f>
      </c>
    </row>
    <row r="51" spans="2:11" ht="15.75">
      <c r="B51" s="131"/>
      <c r="C51" s="369"/>
      <c r="D51" s="369"/>
      <c r="E51" s="123"/>
      <c r="F51" s="583"/>
      <c r="G51" s="562">
        <f>SUM(G48:G50)</f>
        <v>0</v>
      </c>
      <c r="H51" s="548" t="str">
        <f>CONCATENATE("Total ",E1," Resources Available")</f>
        <v>Total 0 Resources Available</v>
      </c>
      <c r="I51" s="564"/>
      <c r="J51" s="585"/>
      <c r="K51" s="583"/>
    </row>
    <row r="52" spans="2:11" ht="15.75">
      <c r="B52" s="131"/>
      <c r="C52" s="369"/>
      <c r="D52" s="369"/>
      <c r="E52" s="123"/>
      <c r="F52" s="583"/>
      <c r="G52" s="566"/>
      <c r="H52" s="548"/>
      <c r="I52" s="548"/>
      <c r="J52" s="585"/>
      <c r="K52" s="583"/>
    </row>
    <row r="53" spans="2:11" ht="15.75">
      <c r="B53" s="110" t="str">
        <f>CONCATENATE("Cash Basis Reserve (",E1," column)")</f>
        <v>Cash Basis Reserve (0 column)</v>
      </c>
      <c r="C53" s="369"/>
      <c r="D53" s="369"/>
      <c r="E53" s="123"/>
      <c r="F53" s="583"/>
      <c r="G53" s="565">
        <f>C56</f>
        <v>0</v>
      </c>
      <c r="H53" s="548" t="str">
        <f>CONCATENATE("Less ",E1-2," Expenditures")</f>
        <v>Less -2 Expenditures</v>
      </c>
      <c r="I53" s="548"/>
      <c r="J53" s="585"/>
      <c r="K53" s="583"/>
    </row>
    <row r="54" spans="2:11" ht="15.75">
      <c r="B54" s="110" t="s">
        <v>176</v>
      </c>
      <c r="C54" s="375"/>
      <c r="D54" s="375"/>
      <c r="E54" s="123"/>
      <c r="F54" s="583"/>
      <c r="G54" s="587">
        <f>G51-G53</f>
        <v>0</v>
      </c>
      <c r="H54" s="588" t="str">
        <f>CONCATENATE("Projected ",E1+1," carryover (est.)")</f>
        <v>Projected 1 carryover (est.)</v>
      </c>
      <c r="I54" s="569"/>
      <c r="J54" s="589"/>
      <c r="K54" s="583"/>
    </row>
    <row r="55" spans="2:11" ht="15.75">
      <c r="B55" s="110" t="s">
        <v>604</v>
      </c>
      <c r="C55" s="371">
        <f>IF(C56*0.1&lt;C54,"Exceed 10% Rule","")</f>
      </c>
      <c r="D55" s="371">
        <f>IF(D56*0.1&lt;D54,"Exceed 10% Rule","")</f>
      </c>
      <c r="E55" s="399">
        <f>IF(E56*0.1&lt;E54,"Exceed 10% Rule","")</f>
      </c>
      <c r="F55" s="583"/>
      <c r="G55" s="583"/>
      <c r="H55" s="583"/>
      <c r="I55" s="583"/>
      <c r="J55" s="583"/>
      <c r="K55" s="583"/>
    </row>
    <row r="56" spans="2:11" ht="15.75">
      <c r="B56" s="108" t="s">
        <v>41</v>
      </c>
      <c r="C56" s="377">
        <f>SUM(C36:C54)</f>
        <v>0</v>
      </c>
      <c r="D56" s="377">
        <f>SUM(D36:D54)</f>
        <v>0</v>
      </c>
      <c r="E56" s="129">
        <f>SUM(E36:E54)</f>
        <v>0</v>
      </c>
      <c r="F56" s="583"/>
      <c r="G56" s="816" t="s">
        <v>653</v>
      </c>
      <c r="H56" s="817"/>
      <c r="I56" s="817"/>
      <c r="J56" s="818"/>
      <c r="K56" s="583"/>
    </row>
    <row r="57" spans="2:11" ht="15.75">
      <c r="B57" s="119" t="s">
        <v>113</v>
      </c>
      <c r="C57" s="378">
        <f>C34-C56</f>
        <v>0</v>
      </c>
      <c r="D57" s="378">
        <f>D34-D56</f>
        <v>0</v>
      </c>
      <c r="E57" s="122" t="s">
        <v>26</v>
      </c>
      <c r="F57"/>
      <c r="G57" s="571"/>
      <c r="H57" s="563"/>
      <c r="I57" s="572"/>
      <c r="J57" s="573"/>
      <c r="K57" s="583"/>
    </row>
    <row r="58" spans="2:11" ht="15.75">
      <c r="B58" s="17" t="str">
        <f>CONCATENATE("",E1-2,"/",E1-1,"/",E1," Budget Authority Amount:")</f>
        <v>-2/-1/0 Budget Authority Amount:</v>
      </c>
      <c r="C58" s="124">
        <f>inputOth!B45</f>
        <v>0</v>
      </c>
      <c r="D58" s="124">
        <f>inputPrYr!D20</f>
        <v>0</v>
      </c>
      <c r="E58" s="72">
        <f>E56</f>
        <v>0</v>
      </c>
      <c r="F58" s="132"/>
      <c r="G58" s="574" t="str">
        <f>summ!H17</f>
        <v> </v>
      </c>
      <c r="H58" s="563" t="str">
        <f>CONCATENATE("",E1," Fund Mill Rate")</f>
        <v>0 Fund Mill Rate</v>
      </c>
      <c r="I58" s="572"/>
      <c r="J58" s="573"/>
      <c r="K58" s="583"/>
    </row>
    <row r="59" spans="2:11" ht="15.75">
      <c r="B59" s="4"/>
      <c r="C59" s="819" t="s">
        <v>606</v>
      </c>
      <c r="D59" s="820"/>
      <c r="E59" s="61"/>
      <c r="F59" s="586">
        <f>IF(E56/0.95-E56&lt;E59,"Exceeds 5%","")</f>
      </c>
      <c r="G59" s="575" t="str">
        <f>summ!E17</f>
        <v>  </v>
      </c>
      <c r="H59" s="563" t="str">
        <f>CONCATENATE("",E1-1," Fund Mill Rate")</f>
        <v>-1 Fund Mill Rate</v>
      </c>
      <c r="I59" s="572"/>
      <c r="J59" s="573"/>
      <c r="K59" s="583"/>
    </row>
    <row r="60" spans="2:11" ht="15.75">
      <c r="B60" s="398" t="str">
        <f>CONCATENATE(C71,"     ",D71)</f>
        <v>     </v>
      </c>
      <c r="C60" s="821" t="s">
        <v>607</v>
      </c>
      <c r="D60" s="822"/>
      <c r="E60" s="72">
        <f>E56+E59</f>
        <v>0</v>
      </c>
      <c r="F60"/>
      <c r="G60" s="576">
        <f>summ!H23</f>
        <v>0</v>
      </c>
      <c r="H60" s="563" t="str">
        <f>CONCATENATE("Total ",E1," Mill Rate")</f>
        <v>Total 0 Mill Rate</v>
      </c>
      <c r="I60" s="572"/>
      <c r="J60" s="573"/>
      <c r="K60" s="583"/>
    </row>
    <row r="61" spans="2:11" ht="15.75">
      <c r="B61" s="398" t="str">
        <f>CONCATENATE(C72,"     ",D72)</f>
        <v>     </v>
      </c>
      <c r="C61" s="432"/>
      <c r="D61" s="431" t="s">
        <v>42</v>
      </c>
      <c r="E61" s="133">
        <f>IF(E60-E34&gt;0,E60-E34,0)</f>
        <v>0</v>
      </c>
      <c r="F61"/>
      <c r="G61" s="575">
        <f>summ!E23</f>
        <v>0</v>
      </c>
      <c r="H61" s="577" t="str">
        <f>CONCATENATE("Total ",E1-1," Mill Rate")</f>
        <v>Total -1 Mill Rate</v>
      </c>
      <c r="I61" s="578"/>
      <c r="J61" s="282"/>
      <c r="K61" s="583"/>
    </row>
    <row r="62" spans="2:6" ht="15.75">
      <c r="B62" s="2"/>
      <c r="C62" s="430" t="s">
        <v>608</v>
      </c>
      <c r="D62" s="537">
        <f>inputOth!$E$38</f>
        <v>0</v>
      </c>
      <c r="E62" s="72">
        <f>ROUND(IF(D62&gt;0,(E61*D62),0),0)</f>
        <v>0</v>
      </c>
      <c r="F62"/>
    </row>
    <row r="63" spans="2:10" ht="15.75">
      <c r="B63" s="1"/>
      <c r="C63" s="823" t="str">
        <f>CONCATENATE("Amount of  ",$E$1-1," Ad Valorem Tax")</f>
        <v>Amount of  -1 Ad Valorem Tax</v>
      </c>
      <c r="D63" s="824"/>
      <c r="E63" s="133">
        <f>E61+E62</f>
        <v>0</v>
      </c>
      <c r="F63"/>
      <c r="G63" s="741" t="s">
        <v>734</v>
      </c>
      <c r="H63" s="723"/>
      <c r="I63" s="700"/>
      <c r="J63" s="722" t="str">
        <f>cert!D33</f>
        <v>No</v>
      </c>
    </row>
    <row r="64" spans="2:10" ht="15.75">
      <c r="B64" s="2"/>
      <c r="C64" s="1"/>
      <c r="D64" s="1"/>
      <c r="E64" s="1"/>
      <c r="F64"/>
      <c r="G64" s="708" t="str">
        <f>CONCATENATE("Computed ",E1," tax levy limit amount")</f>
        <v>Computed 0 tax levy limit amount</v>
      </c>
      <c r="H64" s="709"/>
      <c r="I64" s="709"/>
      <c r="J64" s="710">
        <f>computation!J41</f>
        <v>0</v>
      </c>
    </row>
    <row r="65" spans="2:10" ht="15.75">
      <c r="B65" s="4" t="s">
        <v>44</v>
      </c>
      <c r="C65" s="672"/>
      <c r="D65" s="1"/>
      <c r="E65" s="1"/>
      <c r="F65"/>
      <c r="G65" s="711" t="str">
        <f>CONCATENATE("Total ",E1," tax levy amount")</f>
        <v>Total 0 tax levy amount</v>
      </c>
      <c r="H65" s="712"/>
      <c r="I65" s="712"/>
      <c r="J65" s="713">
        <f>summ!G23</f>
        <v>0</v>
      </c>
    </row>
    <row r="66" ht="15.75">
      <c r="F66"/>
    </row>
    <row r="67" ht="15.75">
      <c r="F67"/>
    </row>
    <row r="68" ht="15.75">
      <c r="F68"/>
    </row>
    <row r="69" ht="15.75">
      <c r="F69"/>
    </row>
    <row r="71" spans="3:4" ht="15.75" customHeight="1" hidden="1">
      <c r="C71" s="3">
        <f>IF(C56&gt;C58,"See Tab A","")</f>
      </c>
      <c r="D71" s="3">
        <f>IF(D56&gt;D58,"See Tab C","")</f>
      </c>
    </row>
    <row r="72" spans="3:4" ht="15.75" hidden="1">
      <c r="C72" s="3">
        <f>IF(C57&lt;0,"See Tab B","")</f>
      </c>
      <c r="D72" s="3">
        <f>+IF(D57&lt;0,"See Tab D","")</f>
      </c>
    </row>
  </sheetData>
  <sheetProtection sheet="1" objects="1" scenarios="1"/>
  <mergeCells count="6">
    <mergeCell ref="G39:J39"/>
    <mergeCell ref="G56:J56"/>
    <mergeCell ref="C59:D59"/>
    <mergeCell ref="C60:D60"/>
    <mergeCell ref="C63:D63"/>
    <mergeCell ref="G46:J46"/>
  </mergeCells>
  <conditionalFormatting sqref="C54">
    <cfRule type="cellIs" priority="2" dxfId="62" operator="greaterThan" stopIfTrue="1">
      <formula>$C$56*0.1</formula>
    </cfRule>
  </conditionalFormatting>
  <conditionalFormatting sqref="D54">
    <cfRule type="cellIs" priority="3" dxfId="62" operator="greaterThan" stopIfTrue="1">
      <formula>$D$56*0.1</formula>
    </cfRule>
  </conditionalFormatting>
  <conditionalFormatting sqref="E54">
    <cfRule type="cellIs" priority="4" dxfId="62" operator="greaterThan" stopIfTrue="1">
      <formula>$E$56*0.1</formula>
    </cfRule>
  </conditionalFormatting>
  <conditionalFormatting sqref="E59">
    <cfRule type="cellIs" priority="5" dxfId="62" operator="greaterThan" stopIfTrue="1">
      <formula>$E$56/0.95-$E$56</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57">
    <cfRule type="cellIs" priority="8" dxfId="62" operator="lessThan" stopIfTrue="1">
      <formula>0</formula>
    </cfRule>
  </conditionalFormatting>
  <conditionalFormatting sqref="D57">
    <cfRule type="cellIs" priority="1" dxfId="0" operator="lessThan" stopIfTrue="1">
      <formula>0</formula>
    </cfRule>
  </conditionalFormatting>
  <conditionalFormatting sqref="D56">
    <cfRule type="cellIs" priority="20" dxfId="5" operator="greaterThan" stopIfTrue="1">
      <formula>$D$58</formula>
    </cfRule>
  </conditionalFormatting>
  <conditionalFormatting sqref="C56">
    <cfRule type="cellIs" priority="28" dxfId="5" operator="greaterThan" stopIfTrue="1">
      <formula>$C$58</formula>
    </cfRule>
  </conditionalFormatting>
  <conditionalFormatting sqref="E31">
    <cfRule type="cellIs" priority="92" dxfId="62" operator="greaterThan" stopIfTrue="1">
      <formula>$E$33*0.1+$E$63</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52" sqref="Q152"/>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6" style="76" customWidth="1"/>
    <col min="10" max="10" width="10" style="76" customWidth="1"/>
    <col min="11" max="16384" width="8.8984375" style="76" customWidth="1"/>
  </cols>
  <sheetData>
    <row r="1" spans="2:5" ht="15.75">
      <c r="B1" s="1">
        <f>inputPrYr!D3</f>
        <v>0</v>
      </c>
      <c r="C1" s="1"/>
      <c r="D1" s="1"/>
      <c r="E1" s="42">
        <f>inputPrYr!D6</f>
        <v>0</v>
      </c>
    </row>
    <row r="2" spans="2:5" ht="15.75">
      <c r="B2" s="1">
        <f>inputPrYr!D4</f>
        <v>0</v>
      </c>
      <c r="C2" s="1"/>
      <c r="D2" s="1"/>
      <c r="E2" s="4"/>
    </row>
    <row r="3" spans="2:5" ht="15.75">
      <c r="B3" s="94" t="s">
        <v>78</v>
      </c>
      <c r="C3" s="93"/>
      <c r="D3" s="93"/>
      <c r="E3" s="95"/>
    </row>
    <row r="4" spans="2:5" ht="15.75">
      <c r="B4" s="1"/>
      <c r="C4" s="80"/>
      <c r="D4" s="80"/>
      <c r="E4" s="80"/>
    </row>
    <row r="5" spans="2:5" ht="15.75">
      <c r="B5" s="17" t="s">
        <v>32</v>
      </c>
      <c r="C5" s="366" t="s">
        <v>204</v>
      </c>
      <c r="D5" s="367" t="s">
        <v>203</v>
      </c>
      <c r="E5" s="96" t="s">
        <v>201</v>
      </c>
    </row>
    <row r="6" spans="2:5" ht="15.75">
      <c r="B6" s="397">
        <f>inputPrYr!B22</f>
        <v>0</v>
      </c>
      <c r="C6" s="368" t="str">
        <f>CONCATENATE("Actual for ",E1-2,"")</f>
        <v>Actual for -2</v>
      </c>
      <c r="D6" s="368" t="str">
        <f>CONCATENATE("Estimate for ",E1-1,"")</f>
        <v>Estimate for -1</v>
      </c>
      <c r="E6" s="97" t="str">
        <f>CONCATENATE("Year for ",E1,"")</f>
        <v>Year for 0</v>
      </c>
    </row>
    <row r="7" spans="2:5" ht="15.75">
      <c r="B7" s="98" t="s">
        <v>112</v>
      </c>
      <c r="C7" s="369"/>
      <c r="D7" s="370">
        <f>C36</f>
        <v>0</v>
      </c>
      <c r="E7" s="72">
        <f>D36</f>
        <v>0</v>
      </c>
    </row>
    <row r="8" spans="2:5" ht="15.75">
      <c r="B8" s="100" t="s">
        <v>114</v>
      </c>
      <c r="C8" s="101"/>
      <c r="D8" s="101"/>
      <c r="E8" s="12"/>
    </row>
    <row r="9" spans="2:5" ht="15.75">
      <c r="B9" s="98" t="s">
        <v>33</v>
      </c>
      <c r="C9" s="369"/>
      <c r="D9" s="370">
        <f>IF(inputPrYr!H18&gt;0,inputPrYr!G22,inputPrYr!E22)</f>
        <v>0</v>
      </c>
      <c r="E9" s="102" t="s">
        <v>26</v>
      </c>
    </row>
    <row r="10" spans="2:5" ht="15.75">
      <c r="B10" s="98" t="s">
        <v>34</v>
      </c>
      <c r="C10" s="369"/>
      <c r="D10" s="369"/>
      <c r="E10" s="63"/>
    </row>
    <row r="11" spans="2:5" ht="15.75">
      <c r="B11" s="98" t="s">
        <v>35</v>
      </c>
      <c r="C11" s="369"/>
      <c r="D11" s="369"/>
      <c r="E11" s="72">
        <f>mvalloc!D13</f>
        <v>0</v>
      </c>
    </row>
    <row r="12" spans="2:5" ht="15.75">
      <c r="B12" s="98" t="s">
        <v>36</v>
      </c>
      <c r="C12" s="369"/>
      <c r="D12" s="369"/>
      <c r="E12" s="72">
        <f>mvalloc!E13</f>
        <v>0</v>
      </c>
    </row>
    <row r="13" spans="2:5" ht="15.75">
      <c r="B13" s="101" t="s">
        <v>105</v>
      </c>
      <c r="C13" s="369"/>
      <c r="D13" s="369"/>
      <c r="E13" s="72">
        <f>mvalloc!F13</f>
        <v>0</v>
      </c>
    </row>
    <row r="14" spans="2:5" ht="15.75">
      <c r="B14" s="125" t="s">
        <v>726</v>
      </c>
      <c r="C14" s="369"/>
      <c r="D14" s="369"/>
      <c r="E14" s="72">
        <f>mvalloc!G13</f>
        <v>0</v>
      </c>
    </row>
    <row r="15" spans="2:5" ht="15.75">
      <c r="B15" s="125" t="s">
        <v>727</v>
      </c>
      <c r="C15" s="369"/>
      <c r="D15" s="369"/>
      <c r="E15" s="72">
        <f>mvalloc!H13</f>
        <v>0</v>
      </c>
    </row>
    <row r="16" spans="2:5" ht="15.75">
      <c r="B16" s="103"/>
      <c r="C16" s="369"/>
      <c r="D16" s="369"/>
      <c r="E16" s="63"/>
    </row>
    <row r="17" spans="2:5" ht="15.75">
      <c r="B17" s="103"/>
      <c r="C17" s="369"/>
      <c r="D17" s="369"/>
      <c r="E17" s="63"/>
    </row>
    <row r="18" spans="2:11" ht="15.75">
      <c r="B18" s="103"/>
      <c r="C18" s="369"/>
      <c r="D18" s="369"/>
      <c r="E18" s="63"/>
      <c r="G18" s="813" t="str">
        <f>CONCATENATE("Desired Carryover Into ",F3+1,"")</f>
        <v>Desired Carryover Into 1</v>
      </c>
      <c r="H18" s="814"/>
      <c r="I18" s="814"/>
      <c r="J18" s="815"/>
      <c r="K18" s="3"/>
    </row>
    <row r="19" spans="2:11" ht="15.75">
      <c r="B19" s="103"/>
      <c r="C19" s="369"/>
      <c r="D19" s="369"/>
      <c r="E19" s="63"/>
      <c r="G19" s="547"/>
      <c r="H19" s="75"/>
      <c r="I19" s="548"/>
      <c r="J19" s="549"/>
      <c r="K19" s="3"/>
    </row>
    <row r="20" spans="2:11" ht="15.75">
      <c r="B20" s="104" t="s">
        <v>37</v>
      </c>
      <c r="C20" s="369"/>
      <c r="D20" s="369"/>
      <c r="E20" s="63"/>
      <c r="G20" s="550" t="s">
        <v>612</v>
      </c>
      <c r="H20" s="548"/>
      <c r="I20" s="548"/>
      <c r="J20" s="551">
        <v>0</v>
      </c>
      <c r="K20" s="3"/>
    </row>
    <row r="21" spans="2:11" ht="15.75">
      <c r="B21" s="110" t="s">
        <v>177</v>
      </c>
      <c r="C21" s="369"/>
      <c r="D21" s="369"/>
      <c r="E21" s="133">
        <f>Nhood!E9*-1</f>
        <v>0</v>
      </c>
      <c r="G21" s="547" t="s">
        <v>613</v>
      </c>
      <c r="H21" s="75"/>
      <c r="I21" s="75"/>
      <c r="J21" s="584">
        <f>IF(J20=0,"",ROUND((J20+E42-G33)/summ!F27*1000,3)-G38)</f>
      </c>
      <c r="K21" s="3"/>
    </row>
    <row r="22" spans="2:11" ht="15.75">
      <c r="B22" s="105" t="s">
        <v>176</v>
      </c>
      <c r="C22" s="369"/>
      <c r="D22" s="369"/>
      <c r="E22" s="61"/>
      <c r="G22" s="553" t="str">
        <f>CONCATENATE("",F3," Tot Exp/Non-Appr Must Be:")</f>
        <v> Tot Exp/Non-Appr Must Be:</v>
      </c>
      <c r="H22" s="554"/>
      <c r="I22" s="555"/>
      <c r="J22" s="556">
        <f>IF(J20&gt;0,IF(E39&lt;E25,IF(J20=G33,E39,((J20-G33)*(1-D41))+E25),E39+(J20-G33)),0)</f>
        <v>0</v>
      </c>
      <c r="K22" s="3"/>
    </row>
    <row r="23" spans="2:11" ht="15.75">
      <c r="B23" s="105" t="s">
        <v>605</v>
      </c>
      <c r="C23" s="371">
        <f>IF(C24*0.1&lt;C22,"Exceed 10% Rule","")</f>
      </c>
      <c r="D23" s="371">
        <f>IF(D24*0.1&lt;D22,"Exceed 10% Rule","")</f>
      </c>
      <c r="E23" s="399">
        <f>IF(E24*0.1+E42&lt;E22,"Exceed 10% Rule","")</f>
      </c>
      <c r="G23" s="557" t="s">
        <v>652</v>
      </c>
      <c r="H23" s="558"/>
      <c r="I23" s="558"/>
      <c r="J23" s="559">
        <f>IF(J20&gt;0,J22-E39,0)</f>
        <v>0</v>
      </c>
      <c r="K23" s="3"/>
    </row>
    <row r="24" spans="2:11" ht="15.75">
      <c r="B24" s="108" t="s">
        <v>38</v>
      </c>
      <c r="C24" s="372">
        <f>SUM(C9:C22)</f>
        <v>0</v>
      </c>
      <c r="D24" s="372">
        <f>SUM(D9:D22)</f>
        <v>0</v>
      </c>
      <c r="E24" s="109">
        <f>SUM(E9:E22)</f>
        <v>0</v>
      </c>
      <c r="G24" s="3"/>
      <c r="H24" s="3"/>
      <c r="I24" s="3"/>
      <c r="J24" s="583"/>
      <c r="K24" s="3"/>
    </row>
    <row r="25" spans="2:11" ht="15.75">
      <c r="B25" s="108" t="s">
        <v>39</v>
      </c>
      <c r="C25" s="372">
        <f>C7+C24</f>
        <v>0</v>
      </c>
      <c r="D25" s="372">
        <f>D7+D24</f>
        <v>0</v>
      </c>
      <c r="E25" s="109">
        <f>E7+E24</f>
        <v>0</v>
      </c>
      <c r="G25" s="813" t="str">
        <f>CONCATENATE("Projected Carryover Into ",F3+1,"")</f>
        <v>Projected Carryover Into 1</v>
      </c>
      <c r="H25" s="825"/>
      <c r="I25" s="825"/>
      <c r="J25" s="826"/>
      <c r="K25" s="3"/>
    </row>
    <row r="26" spans="2:11" ht="15.75">
      <c r="B26" s="98" t="s">
        <v>40</v>
      </c>
      <c r="C26" s="110"/>
      <c r="D26" s="110"/>
      <c r="E26" s="11"/>
      <c r="G26" s="547"/>
      <c r="H26" s="548"/>
      <c r="I26" s="548"/>
      <c r="J26" s="590"/>
      <c r="K26" s="3"/>
    </row>
    <row r="27" spans="2:11" ht="15.75">
      <c r="B27" s="103"/>
      <c r="C27" s="369"/>
      <c r="D27" s="369"/>
      <c r="E27" s="61"/>
      <c r="F27" s="3"/>
      <c r="G27" s="562">
        <f>D36</f>
        <v>0</v>
      </c>
      <c r="H27" s="563" t="str">
        <f>CONCATENATE("",F3-1," Ending Cash Balance (est.)")</f>
        <v>-1 Ending Cash Balance (est.)</v>
      </c>
      <c r="I27" s="564"/>
      <c r="J27" s="590"/>
      <c r="K27" s="3"/>
    </row>
    <row r="28" spans="2:11" ht="15.75">
      <c r="B28" s="103"/>
      <c r="C28" s="369"/>
      <c r="D28" s="369"/>
      <c r="E28" s="61"/>
      <c r="F28" s="3"/>
      <c r="G28" s="562">
        <f>E24</f>
        <v>0</v>
      </c>
      <c r="H28" s="548" t="str">
        <f>CONCATENATE("",F3," Non-AV Receipts (est.)")</f>
        <v> Non-AV Receipts (est.)</v>
      </c>
      <c r="I28" s="564"/>
      <c r="J28" s="590"/>
      <c r="K28" s="3"/>
    </row>
    <row r="29" spans="2:11" ht="15.75">
      <c r="B29" s="103"/>
      <c r="C29" s="369"/>
      <c r="D29" s="369"/>
      <c r="E29" s="61"/>
      <c r="F29" s="3"/>
      <c r="G29" s="565">
        <f>IF(E41&gt;0,E40,E42)</f>
        <v>0</v>
      </c>
      <c r="H29" s="548" t="str">
        <f>CONCATENATE("",F3," Ad Valorem Tax (est.)")</f>
        <v> Ad Valorem Tax (est.)</v>
      </c>
      <c r="I29" s="564"/>
      <c r="J29" s="592"/>
      <c r="K29" s="581">
        <f>IF(G29=E42,"","Note: Does not include Delinquent Taxes")</f>
      </c>
    </row>
    <row r="30" spans="2:11" ht="15.75">
      <c r="B30" s="103"/>
      <c r="C30" s="369"/>
      <c r="D30" s="369"/>
      <c r="E30" s="61"/>
      <c r="F30" s="3"/>
      <c r="G30" s="562">
        <f>SUM(G27:G29)</f>
        <v>0</v>
      </c>
      <c r="H30" s="548" t="str">
        <f>CONCATENATE("Total ",F3," Resources Available")</f>
        <v>Total  Resources Available</v>
      </c>
      <c r="I30" s="564"/>
      <c r="J30" s="590"/>
      <c r="K30" s="3"/>
    </row>
    <row r="31" spans="2:11" ht="15.75">
      <c r="B31" s="103"/>
      <c r="C31" s="369"/>
      <c r="D31" s="369"/>
      <c r="E31" s="61"/>
      <c r="F31" s="3"/>
      <c r="G31" s="566"/>
      <c r="H31" s="548"/>
      <c r="I31" s="548"/>
      <c r="J31" s="590"/>
      <c r="K31" s="3"/>
    </row>
    <row r="32" spans="2:11" ht="15.75">
      <c r="B32" s="110" t="str">
        <f>CONCATENATE("Cash Forward (",E1," column)")</f>
        <v>Cash Forward (0 column)</v>
      </c>
      <c r="C32" s="369"/>
      <c r="D32" s="369"/>
      <c r="E32" s="61"/>
      <c r="F32" s="3"/>
      <c r="G32" s="565">
        <f>ROUND(C35*0.05+C35,0)</f>
        <v>0</v>
      </c>
      <c r="H32" s="548" t="str">
        <f>CONCATENATE("Less ",F3-2," Expenditures + 5%")</f>
        <v>Less -2 Expenditures + 5%</v>
      </c>
      <c r="I32" s="564"/>
      <c r="J32" s="590"/>
      <c r="K32" s="3"/>
    </row>
    <row r="33" spans="2:11" ht="15.75">
      <c r="B33" s="110" t="s">
        <v>176</v>
      </c>
      <c r="C33" s="369"/>
      <c r="D33" s="369"/>
      <c r="E33" s="61"/>
      <c r="F33" s="3"/>
      <c r="G33" s="587">
        <f>G30-G32</f>
        <v>0</v>
      </c>
      <c r="H33" s="588" t="str">
        <f>CONCATENATE("Projected ",F3+1," carryover (est.)")</f>
        <v>Projected 1 carryover (est.)</v>
      </c>
      <c r="I33" s="569"/>
      <c r="J33" s="593"/>
      <c r="K33" s="3"/>
    </row>
    <row r="34" spans="2:11" ht="15.75">
      <c r="B34" s="110" t="s">
        <v>604</v>
      </c>
      <c r="C34" s="371">
        <f>IF(C35*0.1&lt;C33,"Exceed 10% Rule","")</f>
      </c>
      <c r="D34" s="371">
        <f>IF(D35*0.1&lt;D33,"Exceed 10% Rule","")</f>
      </c>
      <c r="E34" s="399">
        <f>IF(E35*0.1&lt;E33,"Exceed 10% Rule","")</f>
      </c>
      <c r="F34" s="3"/>
      <c r="G34" s="583"/>
      <c r="H34" s="583"/>
      <c r="I34" s="583"/>
      <c r="J34" s="583"/>
      <c r="K34" s="3"/>
    </row>
    <row r="35" spans="2:11" ht="15.75">
      <c r="B35" s="108" t="s">
        <v>41</v>
      </c>
      <c r="C35" s="372">
        <f>SUM(C27:C33)</f>
        <v>0</v>
      </c>
      <c r="D35" s="372">
        <f>SUM(D27:D33)</f>
        <v>0</v>
      </c>
      <c r="E35" s="109">
        <f>SUM(E27:E33)</f>
        <v>0</v>
      </c>
      <c r="F35" s="3"/>
      <c r="G35" s="816" t="s">
        <v>653</v>
      </c>
      <c r="H35" s="817"/>
      <c r="I35" s="817"/>
      <c r="J35" s="818"/>
      <c r="K35" s="3"/>
    </row>
    <row r="36" spans="2:11" ht="15.75">
      <c r="B36" s="98" t="s">
        <v>113</v>
      </c>
      <c r="C36" s="373">
        <f>C25-C35</f>
        <v>0</v>
      </c>
      <c r="D36" s="373">
        <f>D25-D35</f>
        <v>0</v>
      </c>
      <c r="E36" s="102" t="s">
        <v>26</v>
      </c>
      <c r="F36" s="3"/>
      <c r="G36" s="571"/>
      <c r="H36" s="563"/>
      <c r="I36" s="572"/>
      <c r="J36" s="573"/>
      <c r="K36" s="3"/>
    </row>
    <row r="37" spans="2:11" ht="15.75">
      <c r="B37" s="17" t="str">
        <f>CONCATENATE("",E1-2,"/",E1-1,"/",E1," Budget Authority Amount:")</f>
        <v>-2/-1/0 Budget Authority Amount:</v>
      </c>
      <c r="C37" s="124">
        <f>inputOth!B46</f>
        <v>0</v>
      </c>
      <c r="D37" s="124">
        <f>inputPrYr!D22</f>
        <v>0</v>
      </c>
      <c r="E37" s="72">
        <f>E35</f>
        <v>0</v>
      </c>
      <c r="F37" s="3"/>
      <c r="G37" s="574" t="str">
        <f>summ!H18</f>
        <v> </v>
      </c>
      <c r="H37" s="563" t="str">
        <f>CONCATENATE("",F3," Fund Mill Rate")</f>
        <v> Fund Mill Rate</v>
      </c>
      <c r="I37" s="572"/>
      <c r="J37" s="573"/>
      <c r="K37" s="3"/>
    </row>
    <row r="38" spans="2:11" ht="15.75">
      <c r="B38" s="4"/>
      <c r="C38" s="819" t="s">
        <v>606</v>
      </c>
      <c r="D38" s="820"/>
      <c r="E38" s="61"/>
      <c r="F38" s="591">
        <f>IF(E35/0.95-E35&lt;E38,"Exceeds 5%","")</f>
      </c>
      <c r="G38" s="575" t="str">
        <f>summ!E18</f>
        <v>  </v>
      </c>
      <c r="H38" s="563" t="str">
        <f>CONCATENATE("",F3-1," Fund Mill Rate")</f>
        <v>-1 Fund Mill Rate</v>
      </c>
      <c r="I38" s="572"/>
      <c r="J38" s="573"/>
      <c r="K38" s="3"/>
    </row>
    <row r="39" spans="2:11" ht="15.75">
      <c r="B39" s="398" t="str">
        <f>CONCATENATE(C93,"     ",D93)</f>
        <v>     </v>
      </c>
      <c r="C39" s="821" t="s">
        <v>607</v>
      </c>
      <c r="D39" s="822"/>
      <c r="E39" s="72">
        <f>E35+E38</f>
        <v>0</v>
      </c>
      <c r="G39" s="576">
        <f>summ!H23</f>
        <v>0</v>
      </c>
      <c r="H39" s="563" t="str">
        <f>CONCATENATE("Total ",F3," Mill Rate")</f>
        <v>Total  Mill Rate</v>
      </c>
      <c r="I39" s="572"/>
      <c r="J39" s="573"/>
      <c r="K39" s="3"/>
    </row>
    <row r="40" spans="2:11" ht="15.75">
      <c r="B40" s="398" t="str">
        <f>CONCATENATE(C94,"     ",D94)</f>
        <v>     </v>
      </c>
      <c r="C40" s="432"/>
      <c r="D40" s="431" t="s">
        <v>42</v>
      </c>
      <c r="E40" s="133">
        <f>IF(E39-E25&gt;0,E39-E25,0)</f>
        <v>0</v>
      </c>
      <c r="F40" s="3"/>
      <c r="G40" s="575">
        <f>summ!E23</f>
        <v>0</v>
      </c>
      <c r="H40" s="577" t="str">
        <f>CONCATENATE("Total ",F3-1," Mill Rate")</f>
        <v>Total -1 Mill Rate</v>
      </c>
      <c r="I40" s="578"/>
      <c r="J40" s="282"/>
      <c r="K40" s="3"/>
    </row>
    <row r="41" spans="2:6" ht="15.75">
      <c r="B41" s="2"/>
      <c r="C41" s="430" t="s">
        <v>608</v>
      </c>
      <c r="D41" s="537">
        <f>inputOth!$E$38</f>
        <v>0</v>
      </c>
      <c r="E41" s="72">
        <f>ROUND(IF(D41&gt;0,(E40*D41),0),0)</f>
        <v>0</v>
      </c>
      <c r="F41" s="3"/>
    </row>
    <row r="42" spans="2:10" ht="15.75">
      <c r="B42" s="1"/>
      <c r="C42" s="823" t="str">
        <f>CONCATENATE("Amount of  ",$F$3-1," Ad Valorem Tax")</f>
        <v>Amount of  -1 Ad Valorem Tax</v>
      </c>
      <c r="D42" s="824"/>
      <c r="E42" s="133">
        <f>E40+E41</f>
        <v>0</v>
      </c>
      <c r="F42" s="3"/>
      <c r="G42" s="741" t="s">
        <v>734</v>
      </c>
      <c r="H42" s="723"/>
      <c r="I42" s="701"/>
      <c r="J42" s="722" t="str">
        <f>cert!D33</f>
        <v>No</v>
      </c>
    </row>
    <row r="43" spans="2:10" ht="15.75">
      <c r="B43" s="1"/>
      <c r="C43" s="1"/>
      <c r="D43" s="1"/>
      <c r="E43" s="1"/>
      <c r="F43" s="3"/>
      <c r="G43" s="714" t="str">
        <f>CONCATENATE("Computed ",E1," tax levy limit amount")</f>
        <v>Computed 0 tax levy limit amount</v>
      </c>
      <c r="H43" s="715"/>
      <c r="I43" s="715"/>
      <c r="J43" s="716">
        <f>computation!J41</f>
        <v>0</v>
      </c>
    </row>
    <row r="44" spans="2:10" ht="15.75">
      <c r="B44" s="17" t="s">
        <v>32</v>
      </c>
      <c r="C44" s="80"/>
      <c r="D44" s="80"/>
      <c r="E44" s="80"/>
      <c r="F44" s="3"/>
      <c r="G44" s="717" t="str">
        <f>CONCATENATE("Total ",E1," tax levy amount")</f>
        <v>Total 0 tax levy amount</v>
      </c>
      <c r="H44" s="718"/>
      <c r="I44" s="718"/>
      <c r="J44" s="719">
        <f>summ!G23</f>
        <v>0</v>
      </c>
    </row>
    <row r="45" spans="2:6" ht="15.75" customHeight="1">
      <c r="B45" s="1"/>
      <c r="C45" s="366" t="s">
        <v>202</v>
      </c>
      <c r="D45" s="367" t="s">
        <v>203</v>
      </c>
      <c r="E45" s="96" t="s">
        <v>201</v>
      </c>
      <c r="F45" s="3"/>
    </row>
    <row r="46" spans="2:6" ht="15.75" customHeight="1">
      <c r="B46" s="397">
        <f>inputPrYr!B23</f>
        <v>0</v>
      </c>
      <c r="C46" s="368" t="str">
        <f>C6</f>
        <v>Actual for -2</v>
      </c>
      <c r="D46" s="368" t="str">
        <f>D6</f>
        <v>Estimate for -1</v>
      </c>
      <c r="E46" s="97" t="str">
        <f>E6</f>
        <v>Year for 0</v>
      </c>
      <c r="F46" s="3"/>
    </row>
    <row r="47" spans="2:6" ht="15.75">
      <c r="B47" s="98" t="s">
        <v>112</v>
      </c>
      <c r="C47" s="369"/>
      <c r="D47" s="370">
        <f>C76</f>
        <v>0</v>
      </c>
      <c r="E47" s="72">
        <f>D76</f>
        <v>0</v>
      </c>
      <c r="F47" s="3"/>
    </row>
    <row r="48" spans="2:6" ht="15.75">
      <c r="B48" s="100" t="s">
        <v>114</v>
      </c>
      <c r="C48" s="101"/>
      <c r="D48" s="101"/>
      <c r="E48" s="12"/>
      <c r="F48" s="3"/>
    </row>
    <row r="49" spans="2:6" ht="15.75">
      <c r="B49" s="98" t="s">
        <v>33</v>
      </c>
      <c r="C49" s="369"/>
      <c r="D49" s="370">
        <f>IF(inputPrYr!H18&gt;0,inputPrYr!G23,inputPrYr!E23)</f>
        <v>0</v>
      </c>
      <c r="E49" s="102" t="s">
        <v>26</v>
      </c>
      <c r="F49" s="3"/>
    </row>
    <row r="50" spans="2:5" ht="15.75">
      <c r="B50" s="98" t="s">
        <v>34</v>
      </c>
      <c r="C50" s="369"/>
      <c r="D50" s="369"/>
      <c r="E50" s="63"/>
    </row>
    <row r="51" spans="2:5" ht="15.75">
      <c r="B51" s="98" t="s">
        <v>35</v>
      </c>
      <c r="C51" s="369"/>
      <c r="D51" s="369"/>
      <c r="E51" s="72">
        <f>mvalloc!D14</f>
        <v>0</v>
      </c>
    </row>
    <row r="52" spans="2:5" ht="15.75">
      <c r="B52" s="98" t="s">
        <v>36</v>
      </c>
      <c r="C52" s="369"/>
      <c r="D52" s="369"/>
      <c r="E52" s="72">
        <f>mvalloc!E14</f>
        <v>0</v>
      </c>
    </row>
    <row r="53" spans="2:5" ht="15.75">
      <c r="B53" s="101" t="s">
        <v>105</v>
      </c>
      <c r="C53" s="369"/>
      <c r="D53" s="369"/>
      <c r="E53" s="72">
        <f>mvalloc!F14</f>
        <v>0</v>
      </c>
    </row>
    <row r="54" spans="2:5" ht="15.75">
      <c r="B54" s="125" t="s">
        <v>726</v>
      </c>
      <c r="C54" s="369"/>
      <c r="D54" s="369"/>
      <c r="E54" s="72">
        <f>mvalloc!G14</f>
        <v>0</v>
      </c>
    </row>
    <row r="55" spans="2:5" ht="15.75">
      <c r="B55" s="125" t="s">
        <v>727</v>
      </c>
      <c r="C55" s="369"/>
      <c r="D55" s="369"/>
      <c r="E55" s="72">
        <f>mvalloc!H14</f>
        <v>0</v>
      </c>
    </row>
    <row r="56" spans="2:5" ht="15.75">
      <c r="B56" s="103"/>
      <c r="C56" s="369"/>
      <c r="D56" s="369"/>
      <c r="E56" s="61"/>
    </row>
    <row r="57" spans="2:5" ht="15.75">
      <c r="B57" s="103"/>
      <c r="C57" s="369"/>
      <c r="D57" s="369"/>
      <c r="E57" s="61"/>
    </row>
    <row r="58" spans="2:10" ht="15.75">
      <c r="B58" s="103"/>
      <c r="C58" s="369"/>
      <c r="D58" s="369"/>
      <c r="E58" s="61"/>
      <c r="G58" s="813" t="str">
        <f>CONCATENATE("Desired Carryover Into ",F3+1,"")</f>
        <v>Desired Carryover Into 1</v>
      </c>
      <c r="H58" s="814"/>
      <c r="I58" s="814"/>
      <c r="J58" s="815"/>
    </row>
    <row r="59" spans="2:10" ht="15.75">
      <c r="B59" s="103"/>
      <c r="C59" s="369"/>
      <c r="D59" s="369"/>
      <c r="E59" s="61"/>
      <c r="G59" s="547"/>
      <c r="H59" s="75"/>
      <c r="I59" s="548"/>
      <c r="J59" s="549"/>
    </row>
    <row r="60" spans="2:10" ht="15.75">
      <c r="B60" s="104" t="s">
        <v>37</v>
      </c>
      <c r="C60" s="369"/>
      <c r="D60" s="369"/>
      <c r="E60" s="61"/>
      <c r="G60" s="550" t="s">
        <v>612</v>
      </c>
      <c r="H60" s="548"/>
      <c r="I60" s="548"/>
      <c r="J60" s="551">
        <v>0</v>
      </c>
    </row>
    <row r="61" spans="2:10" ht="15.75">
      <c r="B61" s="110" t="s">
        <v>177</v>
      </c>
      <c r="C61" s="369"/>
      <c r="D61" s="369"/>
      <c r="E61" s="133">
        <f>Nhood!E10*-1</f>
        <v>0</v>
      </c>
      <c r="G61" s="547" t="s">
        <v>613</v>
      </c>
      <c r="H61" s="75"/>
      <c r="I61" s="75"/>
      <c r="J61" s="584">
        <f>IF(J60=0,"",ROUND((J60+E82-G73)/summ!F27*1000,3)-G78)</f>
      </c>
    </row>
    <row r="62" spans="2:10" ht="15.75">
      <c r="B62" s="105" t="s">
        <v>176</v>
      </c>
      <c r="C62" s="103"/>
      <c r="D62" s="103"/>
      <c r="E62" s="61"/>
      <c r="G62" s="553" t="str">
        <f>CONCATENATE("",F3," Tot Exp/Non-Appr Must Be:")</f>
        <v> Tot Exp/Non-Appr Must Be:</v>
      </c>
      <c r="H62" s="554"/>
      <c r="I62" s="555"/>
      <c r="J62" s="556">
        <f>IF(J60&gt;0,IF(E79&lt;E65,IF(J60=G73,E79,((J60-G73)*(1-D81))+E65),E79+(J60-G73)),0)</f>
        <v>0</v>
      </c>
    </row>
    <row r="63" spans="2:10" ht="15.75">
      <c r="B63" s="105" t="s">
        <v>605</v>
      </c>
      <c r="C63" s="371">
        <f>IF(C64*0.1&lt;C62,"Exceed 10% Rule","")</f>
      </c>
      <c r="D63" s="371">
        <f>IF(D64*0.1&lt;D62,"Exceed 10% Rule","")</f>
      </c>
      <c r="E63" s="399">
        <f>IF(E64*0.1+E82&lt;E62,"Exceed 10% Rule","")</f>
      </c>
      <c r="G63" s="557" t="s">
        <v>652</v>
      </c>
      <c r="H63" s="558"/>
      <c r="I63" s="558"/>
      <c r="J63" s="559">
        <f>IF(J60&gt;0,J62-E79,0)</f>
        <v>0</v>
      </c>
    </row>
    <row r="64" spans="2:10" ht="15.75">
      <c r="B64" s="108" t="s">
        <v>38</v>
      </c>
      <c r="C64" s="372">
        <f>SUM(C49:C62)</f>
        <v>0</v>
      </c>
      <c r="D64" s="372">
        <f>SUM(D49:D62)</f>
        <v>0</v>
      </c>
      <c r="E64" s="109">
        <f>SUM(E49:E62)</f>
        <v>0</v>
      </c>
      <c r="G64" s="3"/>
      <c r="H64" s="3"/>
      <c r="I64" s="3"/>
      <c r="J64" s="583"/>
    </row>
    <row r="65" spans="2:10" ht="15.75">
      <c r="B65" s="108" t="s">
        <v>39</v>
      </c>
      <c r="C65" s="372">
        <f>C47+C64</f>
        <v>0</v>
      </c>
      <c r="D65" s="372">
        <f>D47+D64</f>
        <v>0</v>
      </c>
      <c r="E65" s="109">
        <f>E47+E64</f>
        <v>0</v>
      </c>
      <c r="G65" s="813" t="str">
        <f>CONCATENATE("Projected Carryover Into ",F3+1,"")</f>
        <v>Projected Carryover Into 1</v>
      </c>
      <c r="H65" s="827"/>
      <c r="I65" s="827"/>
      <c r="J65" s="826"/>
    </row>
    <row r="66" spans="2:10" ht="15.75">
      <c r="B66" s="98" t="s">
        <v>40</v>
      </c>
      <c r="C66" s="110"/>
      <c r="D66" s="110"/>
      <c r="E66" s="11"/>
      <c r="G66" s="560"/>
      <c r="H66" s="75"/>
      <c r="I66" s="75"/>
      <c r="J66" s="561"/>
    </row>
    <row r="67" spans="2:10" ht="15.75">
      <c r="B67" s="103"/>
      <c r="C67" s="369"/>
      <c r="D67" s="369"/>
      <c r="E67" s="61"/>
      <c r="G67" s="562">
        <f>D76</f>
        <v>0</v>
      </c>
      <c r="H67" s="563" t="str">
        <f>CONCATENATE("",F3-1," Ending Cash Balance (est.)")</f>
        <v>-1 Ending Cash Balance (est.)</v>
      </c>
      <c r="I67" s="564"/>
      <c r="J67" s="561"/>
    </row>
    <row r="68" spans="2:10" ht="15.75">
      <c r="B68" s="103"/>
      <c r="C68" s="369"/>
      <c r="D68" s="369"/>
      <c r="E68" s="61"/>
      <c r="G68" s="562">
        <f>E64</f>
        <v>0</v>
      </c>
      <c r="H68" s="548" t="str">
        <f>CONCATENATE("",F3," Non-AV Receipts (est.)")</f>
        <v> Non-AV Receipts (est.)</v>
      </c>
      <c r="I68" s="564"/>
      <c r="J68" s="561"/>
    </row>
    <row r="69" spans="2:11" ht="15.75">
      <c r="B69" s="103"/>
      <c r="C69" s="369"/>
      <c r="D69" s="369"/>
      <c r="E69" s="61"/>
      <c r="G69" s="565">
        <f>IF(D81&gt;0,E79,E82)</f>
        <v>0</v>
      </c>
      <c r="H69" s="548" t="str">
        <f>CONCATENATE("",F3," Ad Valorem Tax (est.)")</f>
        <v> Ad Valorem Tax (est.)</v>
      </c>
      <c r="I69" s="564"/>
      <c r="J69" s="561"/>
      <c r="K69" s="581">
        <f>IF(G69=E82,"","Note: Does not include Delinquent Taxes")</f>
      </c>
    </row>
    <row r="70" spans="2:10" ht="15.75">
      <c r="B70" s="103"/>
      <c r="C70" s="369"/>
      <c r="D70" s="369"/>
      <c r="E70" s="61"/>
      <c r="G70" s="594">
        <f>SUM(G67:G69)</f>
        <v>0</v>
      </c>
      <c r="H70" s="548" t="str">
        <f>CONCATENATE("Total ",F3," Resources Available")</f>
        <v>Total  Resources Available</v>
      </c>
      <c r="I70" s="561"/>
      <c r="J70" s="561"/>
    </row>
    <row r="71" spans="2:10" ht="15.75">
      <c r="B71" s="103"/>
      <c r="C71" s="369"/>
      <c r="D71" s="369"/>
      <c r="E71" s="61"/>
      <c r="G71" s="595"/>
      <c r="H71" s="596"/>
      <c r="I71" s="75"/>
      <c r="J71" s="561"/>
    </row>
    <row r="72" spans="2:10" ht="15.75">
      <c r="B72" s="110" t="str">
        <f>CONCATENATE("Cash Forward (",E1," column)")</f>
        <v>Cash Forward (0 column)</v>
      </c>
      <c r="C72" s="369"/>
      <c r="D72" s="369"/>
      <c r="E72" s="61"/>
      <c r="G72" s="597">
        <f>ROUND(C75*0.05+C75,0)</f>
        <v>0</v>
      </c>
      <c r="H72" s="596" t="str">
        <f>CONCATENATE("Less ",F3-2," Expenditures + 5%")</f>
        <v>Less -2 Expenditures + 5%</v>
      </c>
      <c r="I72" s="561"/>
      <c r="J72" s="561"/>
    </row>
    <row r="73" spans="2:10" ht="15.75">
      <c r="B73" s="110" t="s">
        <v>176</v>
      </c>
      <c r="C73" s="103"/>
      <c r="D73" s="103"/>
      <c r="E73" s="61"/>
      <c r="G73" s="598">
        <f>G70-G72</f>
        <v>0</v>
      </c>
      <c r="H73" s="599" t="str">
        <f>CONCATENATE("Projected ",F3+1," carryover (est.)")</f>
        <v>Projected 1 carryover (est.)</v>
      </c>
      <c r="I73" s="570"/>
      <c r="J73" s="593"/>
    </row>
    <row r="74" spans="2:10" ht="15.75">
      <c r="B74" s="110" t="s">
        <v>604</v>
      </c>
      <c r="C74" s="371">
        <f>IF(C75*0.1&lt;C73,"Exceed 10% Rule","")</f>
      </c>
      <c r="D74" s="371">
        <f>IF(D75*0.1&lt;D73,"Exceed 10% Rule","")</f>
      </c>
      <c r="E74" s="399">
        <f>IF(E75*0.1&lt;E73,"Exceed 10% Rule","")</f>
      </c>
      <c r="G74" s="583"/>
      <c r="H74" s="583"/>
      <c r="I74" s="583"/>
      <c r="J74" s="3"/>
    </row>
    <row r="75" spans="2:10" ht="15.75">
      <c r="B75" s="108" t="s">
        <v>41</v>
      </c>
      <c r="C75" s="372">
        <f>SUM(C67:C73)</f>
        <v>0</v>
      </c>
      <c r="D75" s="372">
        <f>SUM(D67:D73)</f>
        <v>0</v>
      </c>
      <c r="E75" s="109">
        <f>SUM(E67:E73)</f>
        <v>0</v>
      </c>
      <c r="G75" s="816" t="s">
        <v>653</v>
      </c>
      <c r="H75" s="817"/>
      <c r="I75" s="817"/>
      <c r="J75" s="818"/>
    </row>
    <row r="76" spans="2:10" ht="15.75">
      <c r="B76" s="98" t="s">
        <v>113</v>
      </c>
      <c r="C76" s="373">
        <f>C65-C75</f>
        <v>0</v>
      </c>
      <c r="D76" s="373">
        <f>D65-D75</f>
        <v>0</v>
      </c>
      <c r="E76" s="102" t="s">
        <v>26</v>
      </c>
      <c r="G76" s="571"/>
      <c r="H76" s="563"/>
      <c r="I76" s="572"/>
      <c r="J76" s="573"/>
    </row>
    <row r="77" spans="2:10" ht="15.75">
      <c r="B77" s="17" t="str">
        <f>CONCATENATE("",E1-2,"/",E1-1,"/",E1," Budget Authority Amount:")</f>
        <v>-2/-1/0 Budget Authority Amount:</v>
      </c>
      <c r="C77" s="124">
        <f>inputOth!B47</f>
        <v>0</v>
      </c>
      <c r="D77" s="124">
        <f>inputPrYr!D23</f>
        <v>0</v>
      </c>
      <c r="E77" s="72">
        <f>E75</f>
        <v>0</v>
      </c>
      <c r="F77" s="113"/>
      <c r="G77" s="574" t="str">
        <f>summ!H19</f>
        <v> </v>
      </c>
      <c r="H77" s="563" t="str">
        <f>CONCATENATE("",F3," Fund Mill Rate")</f>
        <v> Fund Mill Rate</v>
      </c>
      <c r="I77" s="572"/>
      <c r="J77" s="573"/>
    </row>
    <row r="78" spans="2:10" ht="15.75">
      <c r="B78" s="4"/>
      <c r="C78" s="819" t="s">
        <v>606</v>
      </c>
      <c r="D78" s="820"/>
      <c r="E78" s="61"/>
      <c r="F78" s="600">
        <f>IF(E75/0.95-E75&lt;E78,"Exceeds 5%","")</f>
      </c>
      <c r="G78" s="575" t="str">
        <f>summ!E19</f>
        <v>  </v>
      </c>
      <c r="H78" s="563" t="str">
        <f>CONCATENATE("",F3-1," Fund Mill Rate")</f>
        <v>-1 Fund Mill Rate</v>
      </c>
      <c r="I78" s="572"/>
      <c r="J78" s="573"/>
    </row>
    <row r="79" spans="2:10" ht="15.75">
      <c r="B79" s="398" t="str">
        <f>CONCATENATE(C95,"     ",D95)</f>
        <v>     </v>
      </c>
      <c r="C79" s="821" t="s">
        <v>607</v>
      </c>
      <c r="D79" s="822"/>
      <c r="E79" s="72">
        <f>E75+E78</f>
        <v>0</v>
      </c>
      <c r="G79" s="576">
        <f>summ!H23</f>
        <v>0</v>
      </c>
      <c r="H79" s="563" t="str">
        <f>CONCATENATE("Total ",F3," Mill Rate")</f>
        <v>Total  Mill Rate</v>
      </c>
      <c r="I79" s="572"/>
      <c r="J79" s="573"/>
    </row>
    <row r="80" spans="2:10" ht="15.75">
      <c r="B80" s="398" t="str">
        <f>CONCATENATE(C96,"     ",D96)</f>
        <v>     </v>
      </c>
      <c r="C80" s="432"/>
      <c r="D80" s="431" t="s">
        <v>42</v>
      </c>
      <c r="E80" s="133">
        <f>IF(E79-E65&gt;0,E79-E65,0)</f>
        <v>0</v>
      </c>
      <c r="G80" s="575">
        <f>summ!E23</f>
        <v>0</v>
      </c>
      <c r="H80" s="577" t="str">
        <f>CONCATENATE("Total ",F3-1," Mill Rate")</f>
        <v>Total -1 Mill Rate</v>
      </c>
      <c r="I80" s="578"/>
      <c r="J80" s="282"/>
    </row>
    <row r="81" spans="2:5" ht="15.75">
      <c r="B81" s="2"/>
      <c r="C81" s="430" t="s">
        <v>608</v>
      </c>
      <c r="D81" s="537">
        <f>inputOth!$E$38</f>
        <v>0</v>
      </c>
      <c r="E81" s="72">
        <f>ROUND(IF(D81&gt;0,(E80*D81),0),0)</f>
        <v>0</v>
      </c>
    </row>
    <row r="82" spans="2:10" ht="15.75">
      <c r="B82" s="1"/>
      <c r="C82" s="823" t="str">
        <f>CONCATENATE("Amount of  ",$F$3-1," Ad Valorem Tax")</f>
        <v>Amount of  -1 Ad Valorem Tax</v>
      </c>
      <c r="D82" s="824"/>
      <c r="E82" s="133">
        <f>E80+E81</f>
        <v>0</v>
      </c>
      <c r="G82" s="741" t="s">
        <v>734</v>
      </c>
      <c r="H82" s="723"/>
      <c r="I82" s="701"/>
      <c r="J82" s="722" t="str">
        <f>cert!D33</f>
        <v>No</v>
      </c>
    </row>
    <row r="83" spans="2:10" ht="15.75">
      <c r="B83" s="1"/>
      <c r="C83" s="5"/>
      <c r="D83" s="5"/>
      <c r="E83" s="5"/>
      <c r="G83" s="714" t="str">
        <f>CONCATENATE("Computed ",E1," tax levy limit amount")</f>
        <v>Computed 0 tax levy limit amount</v>
      </c>
      <c r="H83" s="715"/>
      <c r="I83" s="715"/>
      <c r="J83" s="716">
        <f>computation!J41</f>
        <v>0</v>
      </c>
    </row>
    <row r="84" spans="2:10" ht="15.75">
      <c r="B84" s="4" t="s">
        <v>44</v>
      </c>
      <c r="C84" s="672"/>
      <c r="D84" s="1"/>
      <c r="E84" s="1"/>
      <c r="G84" s="717" t="str">
        <f>CONCATENATE("Total ",E1," tax levy amount")</f>
        <v>Total 0 tax levy amount</v>
      </c>
      <c r="H84" s="718"/>
      <c r="I84" s="718"/>
      <c r="J84" s="719">
        <f>summ!G23</f>
        <v>0</v>
      </c>
    </row>
    <row r="93" spans="3:4" ht="15.75" customHeight="1" hidden="1">
      <c r="C93" s="76">
        <f>IF(C35&gt;C37,"See Tab A","")</f>
      </c>
      <c r="D93" s="76">
        <f>IF(D35&gt;D37,"See Tab C","")</f>
      </c>
    </row>
    <row r="94" spans="3:4" ht="15.75" hidden="1">
      <c r="C94" s="76">
        <f>IF(C36&lt;0,"See Tab B","")</f>
      </c>
      <c r="D94" s="76">
        <f>IF(D36&lt;0,"See Tab D","")</f>
      </c>
    </row>
    <row r="95" spans="3:4" ht="15.75" hidden="1">
      <c r="C95" s="76">
        <f>IF(C75&gt;C77,"See Tab A","")</f>
      </c>
      <c r="D95" s="76">
        <f>IF(D75&gt;D77,"See Tab C","")</f>
      </c>
    </row>
    <row r="96" spans="3:4" ht="15.75" hidden="1">
      <c r="C96" s="76">
        <f>IF(C76&lt;0,"See Tab B","")</f>
      </c>
      <c r="D96" s="76">
        <f>IF(D76&lt;0,"See Tab D","")</f>
      </c>
    </row>
  </sheetData>
  <sheetProtection sheet="1" objects="1" scenarios="1"/>
  <mergeCells count="12">
    <mergeCell ref="C78:D78"/>
    <mergeCell ref="C79:D79"/>
    <mergeCell ref="C38:D38"/>
    <mergeCell ref="C39:D39"/>
    <mergeCell ref="C82:D82"/>
    <mergeCell ref="C42:D42"/>
    <mergeCell ref="G58:J58"/>
    <mergeCell ref="G65:J65"/>
    <mergeCell ref="G75:J75"/>
    <mergeCell ref="G18:J18"/>
    <mergeCell ref="G25:J25"/>
    <mergeCell ref="G35:J35"/>
  </mergeCells>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33">
    <cfRule type="cellIs" priority="8" dxfId="62" operator="greaterThan" stopIfTrue="1">
      <formula>$C$35*0.1</formula>
    </cfRule>
  </conditionalFormatting>
  <conditionalFormatting sqref="D33">
    <cfRule type="cellIs" priority="9" dxfId="62" operator="greaterThan" stopIfTrue="1">
      <formula>$D$35*0.1</formula>
    </cfRule>
  </conditionalFormatting>
  <conditionalFormatting sqref="E33">
    <cfRule type="cellIs" priority="10" dxfId="62" operator="greaterThan" stopIfTrue="1">
      <formula>$E$35*0.1</formula>
    </cfRule>
  </conditionalFormatting>
  <conditionalFormatting sqref="C62">
    <cfRule type="cellIs" priority="11" dxfId="62" operator="greaterThan" stopIfTrue="1">
      <formula>$C$64*0.1</formula>
    </cfRule>
  </conditionalFormatting>
  <conditionalFormatting sqref="D62">
    <cfRule type="cellIs" priority="12" dxfId="62" operator="greaterThan" stopIfTrue="1">
      <formula>$D$64*0.1</formula>
    </cfRule>
  </conditionalFormatting>
  <conditionalFormatting sqref="C73">
    <cfRule type="cellIs" priority="13" dxfId="62" operator="greaterThan" stopIfTrue="1">
      <formula>$C$75*0.1</formula>
    </cfRule>
  </conditionalFormatting>
  <conditionalFormatting sqref="D73">
    <cfRule type="cellIs" priority="14" dxfId="62" operator="greaterThan" stopIfTrue="1">
      <formula>$D$75*0.1</formula>
    </cfRule>
  </conditionalFormatting>
  <conditionalFormatting sqref="E73">
    <cfRule type="cellIs" priority="15" dxfId="62" operator="greaterThan" stopIfTrue="1">
      <formula>$E$75*0.1</formula>
    </cfRule>
  </conditionalFormatting>
  <conditionalFormatting sqref="E78">
    <cfRule type="cellIs" priority="16" dxfId="62" operator="greaterThan" stopIfTrue="1">
      <formula>$E$75/0.95-$E$75</formula>
    </cfRule>
  </conditionalFormatting>
  <conditionalFormatting sqref="E38">
    <cfRule type="cellIs" priority="17" dxfId="62" operator="greaterThan" stopIfTrue="1">
      <formula>$E$35/0.95-$E$35</formula>
    </cfRule>
  </conditionalFormatting>
  <conditionalFormatting sqref="C76">
    <cfRule type="cellIs" priority="18" dxfId="62" operator="lessThan" stopIfTrue="1">
      <formula>0</formula>
    </cfRule>
  </conditionalFormatting>
  <conditionalFormatting sqref="D76 C36:D36">
    <cfRule type="cellIs" priority="4" dxfId="0" operator="lessThan" stopIfTrue="1">
      <formula>0</formula>
    </cfRule>
  </conditionalFormatting>
  <conditionalFormatting sqref="D35">
    <cfRule type="cellIs" priority="43" dxfId="0" operator="greaterThan" stopIfTrue="1">
      <formula>$D$37</formula>
    </cfRule>
  </conditionalFormatting>
  <conditionalFormatting sqref="C35">
    <cfRule type="cellIs" priority="61" dxfId="0" operator="greaterThan" stopIfTrue="1">
      <formula>$C$37</formula>
    </cfRule>
  </conditionalFormatting>
  <conditionalFormatting sqref="D75">
    <cfRule type="cellIs" priority="76" dxfId="5" operator="greaterThan" stopIfTrue="1">
      <formula>$D$77</formula>
    </cfRule>
  </conditionalFormatting>
  <conditionalFormatting sqref="C75">
    <cfRule type="cellIs" priority="90" dxfId="5" operator="greaterThan" stopIfTrue="1">
      <formula>$C$77</formula>
    </cfRule>
  </conditionalFormatting>
  <conditionalFormatting sqref="E22">
    <cfRule type="cellIs" priority="93" dxfId="62" operator="greaterThan" stopIfTrue="1">
      <formula>$E$24*0.1+$E$42</formula>
    </cfRule>
  </conditionalFormatting>
  <conditionalFormatting sqref="E62">
    <cfRule type="cellIs" priority="94" dxfId="62" operator="greaterThan" stopIfTrue="1">
      <formula>$E$64*0.1+$E$82</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119" sqref="I119"/>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1">
        <f>inputPrYr!D3</f>
        <v>0</v>
      </c>
      <c r="C1" s="93"/>
      <c r="D1" s="1"/>
      <c r="E1" s="42">
        <f>inputPrYr!D6</f>
        <v>0</v>
      </c>
    </row>
    <row r="2" spans="2:5" ht="15.75">
      <c r="B2" s="1">
        <f>inputPrYr!D4</f>
        <v>0</v>
      </c>
      <c r="C2" s="93"/>
      <c r="D2" s="1"/>
      <c r="E2" s="4"/>
    </row>
    <row r="3" spans="2:5" ht="15.75">
      <c r="B3" s="94" t="s">
        <v>79</v>
      </c>
      <c r="C3" s="93"/>
      <c r="D3" s="93"/>
      <c r="E3" s="95"/>
    </row>
    <row r="4" spans="2:5" ht="15.75">
      <c r="B4" s="1"/>
      <c r="C4" s="80"/>
      <c r="D4" s="80"/>
      <c r="E4" s="80"/>
    </row>
    <row r="5" spans="2:5" ht="15.75">
      <c r="B5" s="17" t="s">
        <v>32</v>
      </c>
      <c r="C5" s="135" t="s">
        <v>202</v>
      </c>
      <c r="D5" s="96" t="s">
        <v>203</v>
      </c>
      <c r="E5" s="96" t="s">
        <v>201</v>
      </c>
    </row>
    <row r="6" spans="2:5" ht="15.75">
      <c r="B6" s="397">
        <f>inputPrYr!B26</f>
        <v>0</v>
      </c>
      <c r="C6" s="97" t="str">
        <f>CONCATENATE("Actual for ",E1-2,"")</f>
        <v>Actual for -2</v>
      </c>
      <c r="D6" s="97" t="str">
        <f>CONCATENATE("Estimate for ",E1-1,"")</f>
        <v>Estimate for -1</v>
      </c>
      <c r="E6" s="97" t="str">
        <f>CONCATENATE("Year for ",E1,"")</f>
        <v>Year for 0</v>
      </c>
    </row>
    <row r="7" spans="2:5" ht="15.75">
      <c r="B7" s="98" t="s">
        <v>112</v>
      </c>
      <c r="C7" s="61"/>
      <c r="D7" s="72">
        <f>C32</f>
        <v>0</v>
      </c>
      <c r="E7" s="72">
        <f>D32</f>
        <v>0</v>
      </c>
    </row>
    <row r="8" spans="2:5" ht="15.75">
      <c r="B8" s="100" t="s">
        <v>114</v>
      </c>
      <c r="C8" s="11"/>
      <c r="D8" s="11"/>
      <c r="E8" s="11"/>
    </row>
    <row r="9" spans="2:5" ht="15.75">
      <c r="B9" s="103"/>
      <c r="C9" s="63"/>
      <c r="D9" s="63"/>
      <c r="E9" s="63"/>
    </row>
    <row r="10" spans="2:5" ht="15.75">
      <c r="B10" s="103"/>
      <c r="C10" s="63"/>
      <c r="D10" s="63"/>
      <c r="E10" s="63"/>
    </row>
    <row r="11" spans="2:5" ht="15.75">
      <c r="B11" s="103"/>
      <c r="C11" s="63"/>
      <c r="D11" s="63"/>
      <c r="E11" s="63"/>
    </row>
    <row r="12" spans="2:5" ht="15.75">
      <c r="B12" s="103"/>
      <c r="C12" s="63"/>
      <c r="D12" s="63"/>
      <c r="E12" s="63"/>
    </row>
    <row r="13" spans="2:5" ht="15.75">
      <c r="B13" s="103"/>
      <c r="C13" s="63"/>
      <c r="D13" s="63"/>
      <c r="E13" s="63"/>
    </row>
    <row r="14" spans="2:5" ht="15.75">
      <c r="B14" s="103"/>
      <c r="C14" s="63"/>
      <c r="D14" s="63"/>
      <c r="E14" s="63"/>
    </row>
    <row r="15" spans="2:5" ht="15.75">
      <c r="B15" s="103"/>
      <c r="C15" s="63"/>
      <c r="D15" s="63"/>
      <c r="E15" s="63"/>
    </row>
    <row r="16" spans="2:5" ht="15.75">
      <c r="B16" s="104" t="s">
        <v>37</v>
      </c>
      <c r="C16" s="63"/>
      <c r="D16" s="63"/>
      <c r="E16" s="63"/>
    </row>
    <row r="17" spans="2:5" ht="15.75">
      <c r="B17" s="105" t="s">
        <v>176</v>
      </c>
      <c r="C17" s="63"/>
      <c r="D17" s="106"/>
      <c r="E17" s="106"/>
    </row>
    <row r="18" spans="2:5" ht="15.75">
      <c r="B18" s="105" t="s">
        <v>605</v>
      </c>
      <c r="C18" s="399">
        <f>IF(C19*0.1&lt;C17,"Exceed 10% Rule","")</f>
      </c>
      <c r="D18" s="107">
        <f>IF(D19*0.1&lt;D17,"Exceed 10% Rule","")</f>
      </c>
      <c r="E18" s="107">
        <f>IF(E19*0.1&lt;E17,"Exceed 10% Rule","")</f>
      </c>
    </row>
    <row r="19" spans="2:5" ht="15.75">
      <c r="B19" s="108" t="s">
        <v>38</v>
      </c>
      <c r="C19" s="109">
        <f>SUM(C9:C17)</f>
        <v>0</v>
      </c>
      <c r="D19" s="109">
        <f>SUM(D9:D17)</f>
        <v>0</v>
      </c>
      <c r="E19" s="109">
        <f>SUM(E9:E17)</f>
        <v>0</v>
      </c>
    </row>
    <row r="20" spans="2:5" ht="15.75">
      <c r="B20" s="108" t="s">
        <v>39</v>
      </c>
      <c r="C20" s="109">
        <f>C19+C7</f>
        <v>0</v>
      </c>
      <c r="D20" s="109">
        <f>D19+D7</f>
        <v>0</v>
      </c>
      <c r="E20" s="109">
        <f>E19+E7</f>
        <v>0</v>
      </c>
    </row>
    <row r="21" spans="2:5" ht="15.75">
      <c r="B21" s="98" t="s">
        <v>40</v>
      </c>
      <c r="C21" s="11"/>
      <c r="D21" s="11"/>
      <c r="E21" s="11"/>
    </row>
    <row r="22" spans="2:5" ht="15.75">
      <c r="B22" s="103"/>
      <c r="C22" s="63"/>
      <c r="D22" s="63"/>
      <c r="E22" s="63"/>
    </row>
    <row r="23" spans="2:5" ht="15.75">
      <c r="B23" s="103"/>
      <c r="C23" s="63"/>
      <c r="D23" s="63"/>
      <c r="E23" s="63"/>
    </row>
    <row r="24" spans="2:5" ht="15.75">
      <c r="B24" s="103"/>
      <c r="C24" s="63"/>
      <c r="D24" s="63"/>
      <c r="E24" s="63"/>
    </row>
    <row r="25" spans="2:5" ht="15.75">
      <c r="B25" s="103"/>
      <c r="C25" s="63"/>
      <c r="D25" s="63"/>
      <c r="E25" s="63"/>
    </row>
    <row r="26" spans="2:5" ht="15.75">
      <c r="B26" s="103"/>
      <c r="C26" s="63"/>
      <c r="D26" s="63"/>
      <c r="E26" s="63"/>
    </row>
    <row r="27" spans="2:5" ht="15.75">
      <c r="B27" s="103"/>
      <c r="C27" s="63"/>
      <c r="D27" s="63"/>
      <c r="E27" s="63"/>
    </row>
    <row r="28" spans="2:5" ht="15.75">
      <c r="B28" s="110" t="str">
        <f>CONCATENATE("Cash Forward (",E1," column)")</f>
        <v>Cash Forward (0 column)</v>
      </c>
      <c r="C28" s="63"/>
      <c r="D28" s="63"/>
      <c r="E28" s="63"/>
    </row>
    <row r="29" spans="2:5" ht="15.75">
      <c r="B29" s="110" t="s">
        <v>176</v>
      </c>
      <c r="C29" s="61"/>
      <c r="D29" s="99"/>
      <c r="E29" s="99"/>
    </row>
    <row r="30" spans="2:5" ht="15.75">
      <c r="B30" s="110" t="s">
        <v>604</v>
      </c>
      <c r="C30" s="399">
        <f>IF(C31*0.1&lt;C29,"Exceed 10% Rule","")</f>
      </c>
      <c r="D30" s="107">
        <f>IF(D31*0.1&lt;D29,"Exceed 10% Rule","")</f>
      </c>
      <c r="E30" s="107">
        <f>IF(E31*0.1&lt;E29,"Exceed 10% Rule","")</f>
      </c>
    </row>
    <row r="31" spans="2:5" ht="15.75">
      <c r="B31" s="108" t="s">
        <v>41</v>
      </c>
      <c r="C31" s="109">
        <f>SUM(C22:C29)</f>
        <v>0</v>
      </c>
      <c r="D31" s="109">
        <f>SUM(D22:D29)</f>
        <v>0</v>
      </c>
      <c r="E31" s="109">
        <f>SUM(E22:E29)</f>
        <v>0</v>
      </c>
    </row>
    <row r="32" spans="2:5" ht="15.75">
      <c r="B32" s="98" t="s">
        <v>113</v>
      </c>
      <c r="C32" s="133">
        <f>C20-C31</f>
        <v>0</v>
      </c>
      <c r="D32" s="133">
        <f>D20-D31</f>
        <v>0</v>
      </c>
      <c r="E32" s="133">
        <f>E20-E31</f>
        <v>0</v>
      </c>
    </row>
    <row r="33" spans="2:5" ht="15.75">
      <c r="B33" s="17" t="str">
        <f>CONCATENATE("",E1-2,"/",E1-1,"/",E1," Budget Authority Amount:")</f>
        <v>-2/-1/0 Budget Authority Amount:</v>
      </c>
      <c r="C33" s="124">
        <f>inputOth!B48</f>
        <v>0</v>
      </c>
      <c r="D33" s="124">
        <f>inputPrYr!D26</f>
        <v>0</v>
      </c>
      <c r="E33" s="532">
        <f>E31</f>
        <v>0</v>
      </c>
    </row>
    <row r="34" spans="2:5" ht="15.75">
      <c r="B34" s="4"/>
      <c r="C34" s="401">
        <f>IF(C31&gt;C33,"See Tab A","")</f>
      </c>
      <c r="D34" s="401">
        <f>IF(D31&gt;D33,"See Tab C","")</f>
      </c>
      <c r="E34" s="624">
        <f>IF(E32&lt;0,"See Tab E","")</f>
      </c>
    </row>
    <row r="35" spans="2:5" ht="15.75">
      <c r="B35" s="4"/>
      <c r="C35" s="401">
        <f>IF(C32&lt;0,"See Tab B","")</f>
      </c>
      <c r="D35" s="401">
        <f>IF(D32&lt;0,"See Tab D","")</f>
      </c>
      <c r="E35" s="136"/>
    </row>
    <row r="36" spans="2:5" ht="15.75">
      <c r="B36" s="1"/>
      <c r="C36" s="5"/>
      <c r="D36" s="5"/>
      <c r="E36" s="5"/>
    </row>
    <row r="37" spans="2:5" ht="15.75">
      <c r="B37" s="1"/>
      <c r="C37" s="80"/>
      <c r="D37" s="80"/>
      <c r="E37" s="80"/>
    </row>
    <row r="38" spans="2:5" ht="15.75" customHeight="1">
      <c r="B38" s="17" t="s">
        <v>32</v>
      </c>
      <c r="C38" s="135" t="s">
        <v>202</v>
      </c>
      <c r="D38" s="96" t="s">
        <v>203</v>
      </c>
      <c r="E38" s="96" t="s">
        <v>201</v>
      </c>
    </row>
    <row r="39" spans="2:5" ht="15.75" customHeight="1">
      <c r="B39" s="397">
        <f>inputPrYr!B27</f>
        <v>0</v>
      </c>
      <c r="C39" s="97" t="str">
        <f>C6</f>
        <v>Actual for -2</v>
      </c>
      <c r="D39" s="97" t="str">
        <f>D6</f>
        <v>Estimate for -1</v>
      </c>
      <c r="E39" s="97" t="str">
        <f>E6</f>
        <v>Year for 0</v>
      </c>
    </row>
    <row r="40" spans="2:5" ht="15.75">
      <c r="B40" s="98" t="s">
        <v>112</v>
      </c>
      <c r="C40" s="61"/>
      <c r="D40" s="72">
        <f>C65</f>
        <v>0</v>
      </c>
      <c r="E40" s="72">
        <f>D65</f>
        <v>0</v>
      </c>
    </row>
    <row r="41" spans="2:5" ht="15.75">
      <c r="B41" s="100" t="s">
        <v>114</v>
      </c>
      <c r="C41" s="11"/>
      <c r="D41" s="11"/>
      <c r="E41" s="11"/>
    </row>
    <row r="42" spans="2:5" ht="15.75">
      <c r="B42" s="103"/>
      <c r="C42" s="63"/>
      <c r="D42" s="63"/>
      <c r="E42" s="63"/>
    </row>
    <row r="43" spans="2:5" ht="15.75">
      <c r="B43" s="103"/>
      <c r="C43" s="63"/>
      <c r="D43" s="63"/>
      <c r="E43" s="63"/>
    </row>
    <row r="44" spans="2:5" ht="15.75">
      <c r="B44" s="103"/>
      <c r="C44" s="63"/>
      <c r="D44" s="63"/>
      <c r="E44" s="63"/>
    </row>
    <row r="45" spans="2:5" ht="15.75">
      <c r="B45" s="103"/>
      <c r="C45" s="63"/>
      <c r="D45" s="63"/>
      <c r="E45" s="63"/>
    </row>
    <row r="46" spans="2:5" ht="15.75">
      <c r="B46" s="103"/>
      <c r="C46" s="63"/>
      <c r="D46" s="63"/>
      <c r="E46" s="63"/>
    </row>
    <row r="47" spans="2:5" ht="15.75">
      <c r="B47" s="103"/>
      <c r="C47" s="63"/>
      <c r="D47" s="63"/>
      <c r="E47" s="63"/>
    </row>
    <row r="48" spans="2:5" ht="15.75">
      <c r="B48" s="103"/>
      <c r="C48" s="63"/>
      <c r="D48" s="63"/>
      <c r="E48" s="63"/>
    </row>
    <row r="49" spans="2:5" ht="15.75">
      <c r="B49" s="104" t="s">
        <v>37</v>
      </c>
      <c r="C49" s="63"/>
      <c r="D49" s="63"/>
      <c r="E49" s="63"/>
    </row>
    <row r="50" spans="2:5" ht="15.75">
      <c r="B50" s="105" t="s">
        <v>176</v>
      </c>
      <c r="C50" s="63"/>
      <c r="D50" s="106"/>
      <c r="E50" s="106"/>
    </row>
    <row r="51" spans="2:5" ht="15.75">
      <c r="B51" s="105" t="s">
        <v>605</v>
      </c>
      <c r="C51" s="399">
        <f>IF(C52*0.1&lt;C50,"Exceed 10% Rule","")</f>
      </c>
      <c r="D51" s="107">
        <f>IF(D52*0.1&lt;D50,"Exceed 10% Rule","")</f>
      </c>
      <c r="E51" s="107">
        <f>IF(E52*0.1&lt;E50,"Exceed 10% Rule","")</f>
      </c>
    </row>
    <row r="52" spans="2:5" ht="15.75">
      <c r="B52" s="108" t="s">
        <v>38</v>
      </c>
      <c r="C52" s="109">
        <f>SUM(C42:C50)</f>
        <v>0</v>
      </c>
      <c r="D52" s="109">
        <f>SUM(D42:D50)</f>
        <v>0</v>
      </c>
      <c r="E52" s="109">
        <f>SUM(E42:E50)</f>
        <v>0</v>
      </c>
    </row>
    <row r="53" spans="2:5" ht="15.75">
      <c r="B53" s="108" t="s">
        <v>39</v>
      </c>
      <c r="C53" s="109">
        <f>C52+C40</f>
        <v>0</v>
      </c>
      <c r="D53" s="109">
        <f>D52+D40</f>
        <v>0</v>
      </c>
      <c r="E53" s="109">
        <f>E52+E40</f>
        <v>0</v>
      </c>
    </row>
    <row r="54" spans="2:5" ht="15.75">
      <c r="B54" s="98" t="s">
        <v>40</v>
      </c>
      <c r="C54" s="11"/>
      <c r="D54" s="11"/>
      <c r="E54" s="11"/>
    </row>
    <row r="55" spans="2:5" ht="15.75">
      <c r="B55" s="103"/>
      <c r="C55" s="63"/>
      <c r="D55" s="63"/>
      <c r="E55" s="63"/>
    </row>
    <row r="56" spans="2:5" ht="15.75">
      <c r="B56" s="103"/>
      <c r="C56" s="63"/>
      <c r="D56" s="63"/>
      <c r="E56" s="63"/>
    </row>
    <row r="57" spans="2:5" ht="15.75">
      <c r="B57" s="103"/>
      <c r="C57" s="63"/>
      <c r="D57" s="63"/>
      <c r="E57" s="63"/>
    </row>
    <row r="58" spans="2:5" ht="15.75">
      <c r="B58" s="103"/>
      <c r="C58" s="63"/>
      <c r="D58" s="63"/>
      <c r="E58" s="63"/>
    </row>
    <row r="59" spans="2:5" ht="15.75">
      <c r="B59" s="103"/>
      <c r="C59" s="63"/>
      <c r="D59" s="63"/>
      <c r="E59" s="63"/>
    </row>
    <row r="60" spans="2:5" ht="15.75">
      <c r="B60" s="103"/>
      <c r="C60" s="63"/>
      <c r="D60" s="63"/>
      <c r="E60" s="63"/>
    </row>
    <row r="61" spans="2:5" ht="15.75">
      <c r="B61" s="110" t="str">
        <f>CONCATENATE("Cash Forward (",E1," column)")</f>
        <v>Cash Forward (0 column)</v>
      </c>
      <c r="C61" s="63"/>
      <c r="D61" s="63"/>
      <c r="E61" s="63"/>
    </row>
    <row r="62" spans="2:5" ht="15.75">
      <c r="B62" s="110" t="s">
        <v>176</v>
      </c>
      <c r="C62" s="61"/>
      <c r="D62" s="99"/>
      <c r="E62" s="99"/>
    </row>
    <row r="63" spans="2:5" ht="15.75">
      <c r="B63" s="110" t="s">
        <v>604</v>
      </c>
      <c r="C63" s="399">
        <f>IF(C64*0.1&lt;C62,"Exceed 10% Rule","")</f>
      </c>
      <c r="D63" s="107">
        <f>IF(D64*0.1&lt;D62,"Exceed 10% Rule","")</f>
      </c>
      <c r="E63" s="107">
        <f>IF(E64*0.1&lt;E62,"Exceed 10% Rule","")</f>
      </c>
    </row>
    <row r="64" spans="2:5" ht="15.75">
      <c r="B64" s="108" t="s">
        <v>41</v>
      </c>
      <c r="C64" s="109">
        <f>SUM(C55:C62)</f>
        <v>0</v>
      </c>
      <c r="D64" s="109">
        <f>SUM(D55:D62)</f>
        <v>0</v>
      </c>
      <c r="E64" s="109">
        <f>SUM(E55:E62)</f>
        <v>0</v>
      </c>
    </row>
    <row r="65" spans="2:5" ht="15.75">
      <c r="B65" s="98" t="s">
        <v>113</v>
      </c>
      <c r="C65" s="133">
        <f>C53-C64</f>
        <v>0</v>
      </c>
      <c r="D65" s="133">
        <f>D53-D64</f>
        <v>0</v>
      </c>
      <c r="E65" s="133">
        <f>E53-E64</f>
        <v>0</v>
      </c>
    </row>
    <row r="66" spans="2:5" ht="15.75">
      <c r="B66" s="17" t="str">
        <f>CONCATENATE("",E1-2,"/",E1-1,"/",E1," Budget Authority Amount:")</f>
        <v>-2/-1/0 Budget Authority Amount:</v>
      </c>
      <c r="C66" s="124">
        <f>inputOth!B49</f>
        <v>0</v>
      </c>
      <c r="D66" s="124">
        <f>inputPrYr!D27</f>
        <v>0</v>
      </c>
      <c r="E66" s="532">
        <f>E64</f>
        <v>0</v>
      </c>
    </row>
    <row r="67" spans="2:5" ht="15.75">
      <c r="B67" s="4"/>
      <c r="C67" s="401">
        <f>IF(C64&gt;C66,"See Tab A","")</f>
      </c>
      <c r="D67" s="401">
        <f>IF(D64&gt;D66,"See Tab C","")</f>
      </c>
      <c r="E67" s="624">
        <f>IF(E65&lt;0,"See Tab E","")</f>
      </c>
    </row>
    <row r="68" spans="2:5" ht="15.75">
      <c r="B68" s="4"/>
      <c r="C68" s="401">
        <f>IF(C65&lt;0,"See Tab B","")</f>
      </c>
      <c r="D68" s="401">
        <f>IF(D65&lt;0,"See Tab D","")</f>
      </c>
      <c r="E68" s="1"/>
    </row>
    <row r="69" spans="2:5" ht="15.75">
      <c r="B69" s="1"/>
      <c r="C69" s="1"/>
      <c r="D69" s="93"/>
      <c r="E69" s="93"/>
    </row>
    <row r="70" spans="2:5" ht="15.75">
      <c r="B70" s="4" t="s">
        <v>44</v>
      </c>
      <c r="C70" s="672"/>
      <c r="D70" s="1"/>
      <c r="E70" s="1"/>
    </row>
  </sheetData>
  <sheetProtection sheet="1" objects="1" scenarios="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60" sqref="T60"/>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21">
        <f>inputPrYr!$D$3</f>
        <v>0</v>
      </c>
      <c r="B1" s="137"/>
      <c r="C1" s="138"/>
      <c r="D1" s="138"/>
      <c r="E1" s="138"/>
      <c r="F1" s="139" t="s">
        <v>188</v>
      </c>
      <c r="G1" s="138"/>
      <c r="H1" s="138"/>
      <c r="I1" s="138"/>
      <c r="J1" s="138"/>
      <c r="K1" s="138">
        <f>inputPrYr!$D$6</f>
        <v>0</v>
      </c>
    </row>
    <row r="2" spans="1:11" ht="15.75">
      <c r="A2" s="138"/>
      <c r="B2" s="138"/>
      <c r="C2" s="138"/>
      <c r="D2" s="138"/>
      <c r="E2" s="138"/>
      <c r="F2" s="140" t="str">
        <f>CONCATENATE("(Only the actual budget year for ",K1-2," is to be shown)")</f>
        <v>(Only the actual budget year for -2 is to be shown)</v>
      </c>
      <c r="G2" s="138"/>
      <c r="H2" s="138"/>
      <c r="I2" s="138"/>
      <c r="J2" s="138"/>
      <c r="K2" s="138"/>
    </row>
    <row r="3" spans="1:11" ht="15.75">
      <c r="A3" s="138" t="s">
        <v>189</v>
      </c>
      <c r="B3" s="138"/>
      <c r="C3" s="138"/>
      <c r="D3" s="138"/>
      <c r="E3" s="138"/>
      <c r="F3" s="137"/>
      <c r="G3" s="138"/>
      <c r="H3" s="138"/>
      <c r="I3" s="138"/>
      <c r="J3" s="138"/>
      <c r="K3" s="138"/>
    </row>
    <row r="4" spans="1:11" ht="15.75">
      <c r="A4" s="138" t="s">
        <v>190</v>
      </c>
      <c r="B4" s="138"/>
      <c r="C4" s="138" t="s">
        <v>191</v>
      </c>
      <c r="D4" s="138"/>
      <c r="E4" s="138" t="s">
        <v>192</v>
      </c>
      <c r="F4" s="137"/>
      <c r="G4" s="138" t="s">
        <v>193</v>
      </c>
      <c r="H4" s="138"/>
      <c r="I4" s="138" t="s">
        <v>194</v>
      </c>
      <c r="J4" s="138"/>
      <c r="K4" s="138"/>
    </row>
    <row r="5" spans="1:11" ht="15.75">
      <c r="A5" s="828">
        <f>inputPrYr!B30</f>
        <v>0</v>
      </c>
      <c r="B5" s="829"/>
      <c r="C5" s="828">
        <f>inputPrYr!B31</f>
        <v>0</v>
      </c>
      <c r="D5" s="829"/>
      <c r="E5" s="828">
        <f>inputPrYr!B32</f>
        <v>0</v>
      </c>
      <c r="F5" s="829"/>
      <c r="G5" s="828">
        <f>inputPrYr!B33</f>
        <v>0</v>
      </c>
      <c r="H5" s="829"/>
      <c r="I5" s="828">
        <f>inputPrYr!B34</f>
        <v>0</v>
      </c>
      <c r="J5" s="829"/>
      <c r="K5" s="142"/>
    </row>
    <row r="6" spans="1:11" ht="15.75">
      <c r="A6" s="143" t="s">
        <v>195</v>
      </c>
      <c r="B6" s="144"/>
      <c r="C6" s="145" t="s">
        <v>195</v>
      </c>
      <c r="D6" s="146"/>
      <c r="E6" s="145" t="s">
        <v>195</v>
      </c>
      <c r="F6" s="147"/>
      <c r="G6" s="145" t="s">
        <v>195</v>
      </c>
      <c r="H6" s="141"/>
      <c r="I6" s="145" t="s">
        <v>195</v>
      </c>
      <c r="J6" s="138"/>
      <c r="K6" s="148" t="s">
        <v>11</v>
      </c>
    </row>
    <row r="7" spans="1:11" ht="15.75">
      <c r="A7" s="149" t="s">
        <v>196</v>
      </c>
      <c r="B7" s="150"/>
      <c r="C7" s="151" t="s">
        <v>196</v>
      </c>
      <c r="D7" s="150"/>
      <c r="E7" s="151" t="s">
        <v>196</v>
      </c>
      <c r="F7" s="150"/>
      <c r="G7" s="151" t="s">
        <v>196</v>
      </c>
      <c r="H7" s="150"/>
      <c r="I7" s="151" t="s">
        <v>196</v>
      </c>
      <c r="J7" s="150"/>
      <c r="K7" s="152">
        <f>SUM(B7+D7+F7+H7+J7)</f>
        <v>0</v>
      </c>
    </row>
    <row r="8" spans="1:11" ht="15.75">
      <c r="A8" s="153" t="s">
        <v>114</v>
      </c>
      <c r="B8" s="154"/>
      <c r="C8" s="153" t="s">
        <v>114</v>
      </c>
      <c r="D8" s="155"/>
      <c r="E8" s="153" t="s">
        <v>114</v>
      </c>
      <c r="F8" s="137"/>
      <c r="G8" s="153" t="s">
        <v>114</v>
      </c>
      <c r="H8" s="138"/>
      <c r="I8" s="153" t="s">
        <v>114</v>
      </c>
      <c r="J8" s="138"/>
      <c r="K8" s="137"/>
    </row>
    <row r="9" spans="1:11" ht="15.75">
      <c r="A9" s="156"/>
      <c r="B9" s="150"/>
      <c r="C9" s="156"/>
      <c r="D9" s="150"/>
      <c r="E9" s="156"/>
      <c r="F9" s="150"/>
      <c r="G9" s="156"/>
      <c r="H9" s="150"/>
      <c r="I9" s="156"/>
      <c r="J9" s="150"/>
      <c r="K9" s="137"/>
    </row>
    <row r="10" spans="1:11" ht="15.75">
      <c r="A10" s="156"/>
      <c r="B10" s="150"/>
      <c r="C10" s="156"/>
      <c r="D10" s="150"/>
      <c r="E10" s="156"/>
      <c r="F10" s="150"/>
      <c r="G10" s="156"/>
      <c r="H10" s="150"/>
      <c r="I10" s="156"/>
      <c r="J10" s="150"/>
      <c r="K10" s="137"/>
    </row>
    <row r="11" spans="1:11" ht="15.75">
      <c r="A11" s="156"/>
      <c r="B11" s="150"/>
      <c r="C11" s="157"/>
      <c r="D11" s="158"/>
      <c r="E11" s="157"/>
      <c r="F11" s="150"/>
      <c r="G11" s="157"/>
      <c r="H11" s="150"/>
      <c r="I11" s="159"/>
      <c r="J11" s="150"/>
      <c r="K11" s="137"/>
    </row>
    <row r="12" spans="1:11" ht="15.75">
      <c r="A12" s="156"/>
      <c r="B12" s="160"/>
      <c r="C12" s="156"/>
      <c r="D12" s="161"/>
      <c r="E12" s="162"/>
      <c r="F12" s="150"/>
      <c r="G12" s="162"/>
      <c r="H12" s="150"/>
      <c r="I12" s="162"/>
      <c r="J12" s="150"/>
      <c r="K12" s="137"/>
    </row>
    <row r="13" spans="1:11" ht="15.75">
      <c r="A13" s="163"/>
      <c r="B13" s="164"/>
      <c r="C13" s="165"/>
      <c r="D13" s="161"/>
      <c r="E13" s="165"/>
      <c r="F13" s="150"/>
      <c r="G13" s="165"/>
      <c r="H13" s="150"/>
      <c r="I13" s="159"/>
      <c r="J13" s="150"/>
      <c r="K13" s="137"/>
    </row>
    <row r="14" spans="1:11" ht="15.75">
      <c r="A14" s="156"/>
      <c r="B14" s="150"/>
      <c r="C14" s="162"/>
      <c r="D14" s="161"/>
      <c r="E14" s="162"/>
      <c r="F14" s="150"/>
      <c r="G14" s="162"/>
      <c r="H14" s="150"/>
      <c r="I14" s="162"/>
      <c r="J14" s="150"/>
      <c r="K14" s="137"/>
    </row>
    <row r="15" spans="1:11" ht="15.75">
      <c r="A15" s="156"/>
      <c r="B15" s="150"/>
      <c r="C15" s="162"/>
      <c r="D15" s="161"/>
      <c r="E15" s="162"/>
      <c r="F15" s="150"/>
      <c r="G15" s="162"/>
      <c r="H15" s="150"/>
      <c r="I15" s="162"/>
      <c r="J15" s="150"/>
      <c r="K15" s="137"/>
    </row>
    <row r="16" spans="1:11" ht="15.75">
      <c r="A16" s="156"/>
      <c r="B16" s="164"/>
      <c r="C16" s="156"/>
      <c r="D16" s="161"/>
      <c r="E16" s="156"/>
      <c r="F16" s="150"/>
      <c r="G16" s="162"/>
      <c r="H16" s="150"/>
      <c r="I16" s="156"/>
      <c r="J16" s="150"/>
      <c r="K16" s="137"/>
    </row>
    <row r="17" spans="1:11" ht="15.75">
      <c r="A17" s="153" t="s">
        <v>38</v>
      </c>
      <c r="B17" s="152">
        <f>SUM(B9:B16)</f>
        <v>0</v>
      </c>
      <c r="C17" s="153" t="s">
        <v>38</v>
      </c>
      <c r="D17" s="152">
        <f>SUM(D9:D16)</f>
        <v>0</v>
      </c>
      <c r="E17" s="153" t="s">
        <v>38</v>
      </c>
      <c r="F17" s="166">
        <f>SUM(F9:F16)</f>
        <v>0</v>
      </c>
      <c r="G17" s="153" t="s">
        <v>38</v>
      </c>
      <c r="H17" s="152">
        <f>SUM(H9:H16)</f>
        <v>0</v>
      </c>
      <c r="I17" s="153" t="s">
        <v>38</v>
      </c>
      <c r="J17" s="152">
        <f>SUM(J9:J16)</f>
        <v>0</v>
      </c>
      <c r="K17" s="152">
        <f>SUM(B17+D17+F17+H17+J17)</f>
        <v>0</v>
      </c>
    </row>
    <row r="18" spans="1:11" ht="15.75">
      <c r="A18" s="153" t="s">
        <v>39</v>
      </c>
      <c r="B18" s="152">
        <f>SUM(B7+B17)</f>
        <v>0</v>
      </c>
      <c r="C18" s="153" t="s">
        <v>39</v>
      </c>
      <c r="D18" s="152">
        <f>SUM(D7+D17)</f>
        <v>0</v>
      </c>
      <c r="E18" s="153" t="s">
        <v>39</v>
      </c>
      <c r="F18" s="152">
        <f>SUM(F7+F17)</f>
        <v>0</v>
      </c>
      <c r="G18" s="153" t="s">
        <v>39</v>
      </c>
      <c r="H18" s="152">
        <f>SUM(H7+H17)</f>
        <v>0</v>
      </c>
      <c r="I18" s="153" t="s">
        <v>39</v>
      </c>
      <c r="J18" s="152">
        <f>SUM(J7+J17)</f>
        <v>0</v>
      </c>
      <c r="K18" s="152">
        <f>SUM(B18+D18+F18+H18+J18)</f>
        <v>0</v>
      </c>
    </row>
    <row r="19" spans="1:11" ht="15.75">
      <c r="A19" s="153" t="s">
        <v>40</v>
      </c>
      <c r="B19" s="154"/>
      <c r="C19" s="153" t="s">
        <v>40</v>
      </c>
      <c r="D19" s="155"/>
      <c r="E19" s="153" t="s">
        <v>40</v>
      </c>
      <c r="F19" s="137"/>
      <c r="G19" s="153" t="s">
        <v>40</v>
      </c>
      <c r="H19" s="138"/>
      <c r="I19" s="153" t="s">
        <v>40</v>
      </c>
      <c r="J19" s="138"/>
      <c r="K19" s="137"/>
    </row>
    <row r="20" spans="1:11" ht="15.75">
      <c r="A20" s="156"/>
      <c r="B20" s="150"/>
      <c r="C20" s="162"/>
      <c r="D20" s="150"/>
      <c r="E20" s="162"/>
      <c r="F20" s="150"/>
      <c r="G20" s="162"/>
      <c r="H20" s="150"/>
      <c r="I20" s="162"/>
      <c r="J20" s="150"/>
      <c r="K20" s="137"/>
    </row>
    <row r="21" spans="1:11" ht="15.75">
      <c r="A21" s="156"/>
      <c r="B21" s="150"/>
      <c r="C21" s="162"/>
      <c r="D21" s="150"/>
      <c r="E21" s="162"/>
      <c r="F21" s="150"/>
      <c r="G21" s="162"/>
      <c r="H21" s="150"/>
      <c r="I21" s="162"/>
      <c r="J21" s="150"/>
      <c r="K21" s="137"/>
    </row>
    <row r="22" spans="1:11" ht="15.75">
      <c r="A22" s="156"/>
      <c r="B22" s="150"/>
      <c r="C22" s="165"/>
      <c r="D22" s="150"/>
      <c r="E22" s="165"/>
      <c r="F22" s="150"/>
      <c r="G22" s="165"/>
      <c r="H22" s="150"/>
      <c r="I22" s="159"/>
      <c r="J22" s="150"/>
      <c r="K22" s="137"/>
    </row>
    <row r="23" spans="1:11" ht="15.75">
      <c r="A23" s="156"/>
      <c r="B23" s="150"/>
      <c r="C23" s="162"/>
      <c r="D23" s="150"/>
      <c r="E23" s="162"/>
      <c r="F23" s="150"/>
      <c r="G23" s="162"/>
      <c r="H23" s="150"/>
      <c r="I23" s="162"/>
      <c r="J23" s="150"/>
      <c r="K23" s="137"/>
    </row>
    <row r="24" spans="1:11" ht="15.75">
      <c r="A24" s="156"/>
      <c r="B24" s="150"/>
      <c r="C24" s="165"/>
      <c r="D24" s="150"/>
      <c r="E24" s="165"/>
      <c r="F24" s="150"/>
      <c r="G24" s="165"/>
      <c r="H24" s="150"/>
      <c r="I24" s="159"/>
      <c r="J24" s="150"/>
      <c r="K24" s="137"/>
    </row>
    <row r="25" spans="1:11" ht="15.75">
      <c r="A25" s="156"/>
      <c r="B25" s="150"/>
      <c r="C25" s="162"/>
      <c r="D25" s="150"/>
      <c r="E25" s="162"/>
      <c r="F25" s="150"/>
      <c r="G25" s="162"/>
      <c r="H25" s="150"/>
      <c r="I25" s="162"/>
      <c r="J25" s="150"/>
      <c r="K25" s="137"/>
    </row>
    <row r="26" spans="1:11" ht="15.75">
      <c r="A26" s="156"/>
      <c r="B26" s="150"/>
      <c r="C26" s="162"/>
      <c r="D26" s="150"/>
      <c r="E26" s="162"/>
      <c r="F26" s="150"/>
      <c r="G26" s="162"/>
      <c r="H26" s="150"/>
      <c r="I26" s="162"/>
      <c r="J26" s="150"/>
      <c r="K26" s="137"/>
    </row>
    <row r="27" spans="1:11" ht="15.75">
      <c r="A27" s="156"/>
      <c r="B27" s="150"/>
      <c r="C27" s="156"/>
      <c r="D27" s="150"/>
      <c r="E27" s="156"/>
      <c r="F27" s="150"/>
      <c r="G27" s="162"/>
      <c r="H27" s="150"/>
      <c r="I27" s="162"/>
      <c r="J27" s="150"/>
      <c r="K27" s="137"/>
    </row>
    <row r="28" spans="1:11" ht="15.75">
      <c r="A28" s="153" t="s">
        <v>41</v>
      </c>
      <c r="B28" s="152">
        <f>SUM(B20:B27)</f>
        <v>0</v>
      </c>
      <c r="C28" s="153" t="s">
        <v>41</v>
      </c>
      <c r="D28" s="152">
        <f>SUM(D20:D27)</f>
        <v>0</v>
      </c>
      <c r="E28" s="153" t="s">
        <v>41</v>
      </c>
      <c r="F28" s="166">
        <f>SUM(F20:F27)</f>
        <v>0</v>
      </c>
      <c r="G28" s="153" t="s">
        <v>41</v>
      </c>
      <c r="H28" s="166">
        <f>SUM(H20:H27)</f>
        <v>0</v>
      </c>
      <c r="I28" s="153" t="s">
        <v>41</v>
      </c>
      <c r="J28" s="152">
        <f>SUM(J20:J27)</f>
        <v>0</v>
      </c>
      <c r="K28" s="152">
        <f>SUM(B28+D28+F28+H28+J28)</f>
        <v>0</v>
      </c>
    </row>
    <row r="29" spans="1:12" ht="15.75">
      <c r="A29" s="153" t="s">
        <v>197</v>
      </c>
      <c r="B29" s="152">
        <f>SUM(B18-B28)</f>
        <v>0</v>
      </c>
      <c r="C29" s="153" t="s">
        <v>197</v>
      </c>
      <c r="D29" s="152">
        <f>SUM(D18-D28)</f>
        <v>0</v>
      </c>
      <c r="E29" s="153" t="s">
        <v>197</v>
      </c>
      <c r="F29" s="152">
        <f>SUM(F18-F28)</f>
        <v>0</v>
      </c>
      <c r="G29" s="153" t="s">
        <v>197</v>
      </c>
      <c r="H29" s="152">
        <f>SUM(H18-H28)</f>
        <v>0</v>
      </c>
      <c r="I29" s="153" t="s">
        <v>197</v>
      </c>
      <c r="J29" s="152">
        <f>SUM(J18-J28)</f>
        <v>0</v>
      </c>
      <c r="K29" s="167">
        <f>SUM(B29+D29+F29+H29+J29)</f>
        <v>0</v>
      </c>
      <c r="L29" s="76" t="s">
        <v>198</v>
      </c>
    </row>
    <row r="30" spans="1:12" ht="15.75">
      <c r="A30" s="153"/>
      <c r="B30" s="329">
        <f>IF(B29&lt;0,"See Tab B","")</f>
      </c>
      <c r="C30" s="153"/>
      <c r="D30" s="322">
        <f>IF(D29&lt;0,"See Tab B","")</f>
      </c>
      <c r="E30" s="153"/>
      <c r="F30" s="329">
        <f>IF(F29&lt;0,"See Tab B","")</f>
      </c>
      <c r="G30" s="138"/>
      <c r="H30" s="329">
        <f>IF(H29&lt;0,"See Tab B","")</f>
      </c>
      <c r="I30" s="138"/>
      <c r="J30" s="329">
        <f>IF(J29&lt;0,"See Tab B","")</f>
      </c>
      <c r="K30" s="167">
        <f>SUM(K7+K17-K28)</f>
        <v>0</v>
      </c>
      <c r="L30" s="76" t="s">
        <v>198</v>
      </c>
    </row>
    <row r="31" spans="1:11" ht="15.75">
      <c r="A31" s="138"/>
      <c r="B31" s="168"/>
      <c r="C31" s="138"/>
      <c r="D31" s="137"/>
      <c r="E31" s="138"/>
      <c r="F31" s="138"/>
      <c r="G31" s="169" t="s">
        <v>199</v>
      </c>
      <c r="H31" s="169"/>
      <c r="I31" s="169"/>
      <c r="J31" s="169"/>
      <c r="K31" s="138"/>
    </row>
    <row r="32" spans="1:11" ht="15.75">
      <c r="A32" s="138"/>
      <c r="B32" s="168"/>
      <c r="C32" s="138"/>
      <c r="D32" s="138"/>
      <c r="E32" s="138"/>
      <c r="F32" s="138"/>
      <c r="G32" s="138"/>
      <c r="H32" s="138"/>
      <c r="I32" s="138"/>
      <c r="J32" s="138"/>
      <c r="K32" s="138"/>
    </row>
    <row r="33" spans="1:11" ht="15.75">
      <c r="A33" s="138"/>
      <c r="B33" s="168"/>
      <c r="C33" s="138"/>
      <c r="D33" s="138"/>
      <c r="E33" s="170" t="s">
        <v>44</v>
      </c>
      <c r="F33" s="672"/>
      <c r="G33" s="138"/>
      <c r="H33" s="138"/>
      <c r="I33" s="138"/>
      <c r="J33" s="138"/>
      <c r="K33" s="138"/>
    </row>
    <row r="34" ht="15.75">
      <c r="B34" s="171"/>
    </row>
    <row r="35" ht="15.75">
      <c r="B35" s="171"/>
    </row>
    <row r="36" ht="15.75">
      <c r="B36" s="171"/>
    </row>
    <row r="37" ht="15.75">
      <c r="B37" s="171"/>
    </row>
    <row r="38" ht="15.75">
      <c r="B38" s="171"/>
    </row>
    <row r="39" ht="15.75">
      <c r="B39" s="171"/>
    </row>
    <row r="40" ht="15.75">
      <c r="B40" s="171"/>
    </row>
    <row r="41" ht="15.75">
      <c r="B41" s="17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7"/>
  <sheetViews>
    <sheetView zoomScalePageLayoutView="0" workbookViewId="0" topLeftCell="A1">
      <selection activeCell="O151" sqref="O151"/>
    </sheetView>
  </sheetViews>
  <sheetFormatPr defaultColWidth="8.796875" defaultRowHeight="15"/>
  <cols>
    <col min="1" max="1" width="62.3984375" style="38" customWidth="1"/>
    <col min="2" max="16384" width="8.8984375" style="38" customWidth="1"/>
  </cols>
  <sheetData>
    <row r="1" ht="18.75">
      <c r="A1" s="389" t="s">
        <v>265</v>
      </c>
    </row>
    <row r="2" ht="15.75">
      <c r="A2" s="76"/>
    </row>
    <row r="3" ht="15.75">
      <c r="A3" s="76"/>
    </row>
    <row r="4" ht="56.25" customHeight="1">
      <c r="A4" s="390" t="s">
        <v>266</v>
      </c>
    </row>
    <row r="5" ht="15.75">
      <c r="A5" s="391"/>
    </row>
    <row r="6" ht="15.75">
      <c r="A6" s="76"/>
    </row>
    <row r="7" ht="50.25" customHeight="1">
      <c r="A7" s="390" t="s">
        <v>267</v>
      </c>
    </row>
    <row r="8" ht="15.75">
      <c r="A8" s="76"/>
    </row>
    <row r="9" ht="15.75">
      <c r="A9" s="76"/>
    </row>
    <row r="10" ht="52.5" customHeight="1">
      <c r="A10" s="390" t="s">
        <v>268</v>
      </c>
    </row>
    <row r="11" ht="15.75">
      <c r="A11" s="76"/>
    </row>
    <row r="12" ht="15.75">
      <c r="A12" s="76"/>
    </row>
    <row r="13" ht="52.5" customHeight="1">
      <c r="A13" s="390" t="s">
        <v>269</v>
      </c>
    </row>
    <row r="14" ht="15.75">
      <c r="A14" s="391"/>
    </row>
    <row r="15" ht="15.75">
      <c r="A15" s="391"/>
    </row>
    <row r="16" ht="51" customHeight="1">
      <c r="A16" s="392" t="s">
        <v>594</v>
      </c>
    </row>
    <row r="17" ht="15.75">
      <c r="A17" s="391"/>
    </row>
    <row r="18" ht="15.75">
      <c r="A18" s="391"/>
    </row>
    <row r="19" ht="37.5" customHeight="1">
      <c r="A19" s="390" t="s">
        <v>270</v>
      </c>
    </row>
    <row r="20" ht="15.75">
      <c r="A20" s="76"/>
    </row>
    <row r="21" ht="15.75">
      <c r="A21" s="76"/>
    </row>
    <row r="22" ht="47.25">
      <c r="A22" s="390" t="s">
        <v>271</v>
      </c>
    </row>
    <row r="23" ht="15.75">
      <c r="A23" s="391"/>
    </row>
    <row r="24" ht="15.75">
      <c r="A24" s="76"/>
    </row>
    <row r="25" ht="67.5" customHeight="1">
      <c r="A25" s="390" t="s">
        <v>272</v>
      </c>
    </row>
    <row r="26" ht="68.25" customHeight="1">
      <c r="A26" s="393" t="s">
        <v>273</v>
      </c>
    </row>
    <row r="27" ht="15.75">
      <c r="A27" s="76"/>
    </row>
    <row r="28" ht="15.75">
      <c r="A28" s="76"/>
    </row>
    <row r="29" ht="51" customHeight="1">
      <c r="A29" s="394" t="s">
        <v>595</v>
      </c>
    </row>
    <row r="30" ht="15.75">
      <c r="A30" s="76"/>
    </row>
    <row r="31" ht="15.75">
      <c r="A31" s="391"/>
    </row>
    <row r="32" ht="69" customHeight="1">
      <c r="A32" s="394" t="s">
        <v>596</v>
      </c>
    </row>
    <row r="33" ht="15.75">
      <c r="A33" s="391"/>
    </row>
    <row r="34" ht="15.75">
      <c r="A34" s="391"/>
    </row>
    <row r="35" ht="52.5" customHeight="1">
      <c r="A35" s="394" t="s">
        <v>597</v>
      </c>
    </row>
    <row r="36" ht="15.75">
      <c r="A36" s="391"/>
    </row>
    <row r="37" ht="15.75">
      <c r="A37" s="391"/>
    </row>
    <row r="38" ht="59.25" customHeight="1">
      <c r="A38" s="390" t="s">
        <v>274</v>
      </c>
    </row>
    <row r="39" ht="15.75">
      <c r="A39" s="76"/>
    </row>
    <row r="40" ht="15.75">
      <c r="A40" s="76"/>
    </row>
    <row r="41" ht="53.25" customHeight="1">
      <c r="A41" s="390" t="s">
        <v>275</v>
      </c>
    </row>
    <row r="42" ht="15.75">
      <c r="A42" s="391"/>
    </row>
    <row r="43" ht="15.75">
      <c r="A43" s="391"/>
    </row>
    <row r="44" ht="38.25" customHeight="1">
      <c r="A44" s="390" t="s">
        <v>276</v>
      </c>
    </row>
    <row r="47" ht="63">
      <c r="A47" s="395" t="s">
        <v>858</v>
      </c>
    </row>
  </sheetData>
  <sheetProtection sheet="1" objects="1" scenarios="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R75" sqref="R75"/>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0976562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09765625" style="76" customWidth="1"/>
    <col min="14" max="16384" width="8.8984375" style="76" customWidth="1"/>
  </cols>
  <sheetData>
    <row r="1" spans="1:8" ht="15.75">
      <c r="A1" s="800" t="s">
        <v>80</v>
      </c>
      <c r="B1" s="800"/>
      <c r="C1" s="800"/>
      <c r="D1" s="800"/>
      <c r="E1" s="800"/>
      <c r="F1" s="800"/>
      <c r="G1" s="800"/>
      <c r="H1" s="799"/>
    </row>
    <row r="2" spans="1:8" ht="15.75">
      <c r="A2" s="1"/>
      <c r="B2" s="1"/>
      <c r="C2" s="1"/>
      <c r="D2" s="1"/>
      <c r="E2" s="1"/>
      <c r="F2" s="1"/>
      <c r="G2" s="1"/>
      <c r="H2" s="1"/>
    </row>
    <row r="3" spans="1:9" ht="15.75">
      <c r="A3" s="798" t="s">
        <v>106</v>
      </c>
      <c r="B3" s="798"/>
      <c r="C3" s="798"/>
      <c r="D3" s="798"/>
      <c r="E3" s="798"/>
      <c r="F3" s="798"/>
      <c r="G3" s="798"/>
      <c r="H3" s="798"/>
      <c r="I3" s="358">
        <f>inputPrYr!D6</f>
        <v>0</v>
      </c>
    </row>
    <row r="4" spans="1:8" ht="15.75">
      <c r="A4" s="757">
        <f>inputPrYr!D3</f>
        <v>0</v>
      </c>
      <c r="B4" s="757"/>
      <c r="C4" s="757"/>
      <c r="D4" s="757"/>
      <c r="E4" s="757"/>
      <c r="F4" s="757"/>
      <c r="G4" s="757"/>
      <c r="H4" s="757"/>
    </row>
    <row r="5" spans="1:8" ht="15.75">
      <c r="A5" s="842">
        <f>inputPrYr!D4</f>
        <v>0</v>
      </c>
      <c r="B5" s="842"/>
      <c r="C5" s="842"/>
      <c r="D5" s="842"/>
      <c r="E5" s="842"/>
      <c r="F5" s="842"/>
      <c r="G5" s="842"/>
      <c r="H5" s="842"/>
    </row>
    <row r="6" spans="1:8" ht="15.75">
      <c r="A6" s="831" t="str">
        <f>CONCATENATE("will meet on ",inputBudSum!B8," at ",inputBudSum!B10," at ",inputBudSum!B12," for the purpose of hearing and")</f>
        <v>will meet on  at  at  for the purpose of hearing and</v>
      </c>
      <c r="B6" s="831"/>
      <c r="C6" s="831"/>
      <c r="D6" s="831"/>
      <c r="E6" s="831"/>
      <c r="F6" s="831"/>
      <c r="G6" s="831"/>
      <c r="H6" s="831"/>
    </row>
    <row r="7" spans="1:8" ht="15.75">
      <c r="A7" s="340" t="s">
        <v>290</v>
      </c>
      <c r="B7" s="339"/>
      <c r="C7" s="339"/>
      <c r="D7" s="339"/>
      <c r="E7" s="339"/>
      <c r="F7" s="339"/>
      <c r="G7" s="339"/>
      <c r="H7" s="339"/>
    </row>
    <row r="8" spans="1:8" ht="15.75">
      <c r="A8" s="341" t="str">
        <f>CONCATENATE("Detailed budget information is available at ",inputBudSum!B15," and will be available at this hearing.")</f>
        <v>Detailed budget information is available at  and will be available at this hearing.</v>
      </c>
      <c r="B8" s="342"/>
      <c r="C8" s="342"/>
      <c r="D8" s="342"/>
      <c r="E8" s="342"/>
      <c r="F8" s="342"/>
      <c r="G8" s="339"/>
      <c r="H8" s="339"/>
    </row>
    <row r="9" spans="1:8" ht="15.75">
      <c r="A9" s="174" t="s">
        <v>81</v>
      </c>
      <c r="B9" s="7"/>
      <c r="C9" s="7"/>
      <c r="D9" s="7"/>
      <c r="E9" s="7"/>
      <c r="F9" s="7"/>
      <c r="G9" s="7"/>
      <c r="H9" s="7"/>
    </row>
    <row r="10" spans="1:13" ht="15.75">
      <c r="A10" s="173" t="str">
        <f>CONCATENATE("Proposed Budget ",I3," Expenditures and Amount of ",I3-1," Ad Valorem Tax establish the maximum limits")</f>
        <v>Proposed Budget 0 Expenditures and Amount of -1 Ad Valorem Tax establish the maximum limits</v>
      </c>
      <c r="B10" s="7"/>
      <c r="C10" s="7"/>
      <c r="D10" s="7"/>
      <c r="E10" s="7"/>
      <c r="F10" s="7"/>
      <c r="G10" s="7"/>
      <c r="H10" s="7"/>
      <c r="J10" s="832" t="str">
        <f>CONCATENATE("Estimated Value Of One Mill For ",I3,"")</f>
        <v>Estimated Value Of One Mill For 0</v>
      </c>
      <c r="K10" s="833"/>
      <c r="L10" s="833"/>
      <c r="M10" s="834"/>
    </row>
    <row r="11" spans="1:13" ht="15.75">
      <c r="A11" s="173" t="str">
        <f>CONCATENATE("of the ",I3," budget.  Estimated Tax Rate is subject to change depending on the final assessed valuation.")</f>
        <v>of the 0 budget.  Estimated Tax Rate is subject to change depending on the final assessed valuation.</v>
      </c>
      <c r="B11" s="7"/>
      <c r="C11" s="7"/>
      <c r="D11" s="7"/>
      <c r="E11" s="7"/>
      <c r="F11" s="7"/>
      <c r="G11" s="7"/>
      <c r="H11" s="7"/>
      <c r="J11" s="423"/>
      <c r="K11" s="422"/>
      <c r="L11" s="422"/>
      <c r="M11" s="421"/>
    </row>
    <row r="12" spans="1:13" ht="15.75">
      <c r="A12" s="1"/>
      <c r="B12" s="13"/>
      <c r="C12" s="13"/>
      <c r="D12" s="13"/>
      <c r="E12" s="13"/>
      <c r="F12" s="13"/>
      <c r="G12" s="13"/>
      <c r="H12" s="13"/>
      <c r="J12" s="420" t="s">
        <v>609</v>
      </c>
      <c r="K12" s="419"/>
      <c r="L12" s="419"/>
      <c r="M12" s="684">
        <f>ROUND(F27/1000,0)</f>
        <v>0</v>
      </c>
    </row>
    <row r="13" spans="1:13" ht="15.75">
      <c r="A13" s="82"/>
      <c r="B13" s="175" t="str">
        <f>CONCATENATE("Prior Year Actual ",I3-2,"")</f>
        <v>Prior Year Actual -2</v>
      </c>
      <c r="C13" s="176"/>
      <c r="D13" s="177" t="str">
        <f>CONCATENATE("Current Year Estimate for ",I3-1,"")</f>
        <v>Current Year Estimate for -1</v>
      </c>
      <c r="E13" s="176"/>
      <c r="F13" s="175" t="str">
        <f>CONCATENATE("Proposed Budget Year for ",I3,"")</f>
        <v>Proposed Budget Year for 0</v>
      </c>
      <c r="G13" s="178"/>
      <c r="H13" s="176"/>
      <c r="J13" s="3"/>
      <c r="K13" s="3"/>
      <c r="L13" s="3"/>
      <c r="M13" s="3"/>
    </row>
    <row r="14" spans="1:13" ht="15.75">
      <c r="A14" s="85"/>
      <c r="B14" s="50"/>
      <c r="C14" s="179" t="s">
        <v>49</v>
      </c>
      <c r="D14" s="50"/>
      <c r="E14" s="179" t="s">
        <v>49</v>
      </c>
      <c r="F14" s="85" t="s">
        <v>170</v>
      </c>
      <c r="G14" s="840" t="str">
        <f>CONCATENATE("Amount of ",I3-1," Ad Valorem Tax")</f>
        <v>Amount of -1 Ad Valorem Tax</v>
      </c>
      <c r="H14" s="179" t="s">
        <v>615</v>
      </c>
      <c r="J14" s="832" t="str">
        <f>CONCATENATE("Want The Mill Rate The Same As For ",I3-1,"?")</f>
        <v>Want The Mill Rate The Same As For -1?</v>
      </c>
      <c r="K14" s="835"/>
      <c r="L14" s="835"/>
      <c r="M14" s="836"/>
    </row>
    <row r="15" spans="1:13" ht="15.75">
      <c r="A15" s="86" t="s">
        <v>50</v>
      </c>
      <c r="B15" s="9" t="s">
        <v>51</v>
      </c>
      <c r="C15" s="181" t="s">
        <v>162</v>
      </c>
      <c r="D15" s="9" t="s">
        <v>51</v>
      </c>
      <c r="E15" s="181" t="s">
        <v>162</v>
      </c>
      <c r="F15" s="9" t="s">
        <v>602</v>
      </c>
      <c r="G15" s="841"/>
      <c r="H15" s="181" t="s">
        <v>162</v>
      </c>
      <c r="J15" s="417"/>
      <c r="K15" s="422"/>
      <c r="L15" s="422"/>
      <c r="M15" s="416"/>
    </row>
    <row r="16" spans="1:13" ht="15.75">
      <c r="A16" s="11" t="str">
        <f>inputPrYr!B19</f>
        <v>General</v>
      </c>
      <c r="B16" s="72" t="str">
        <f>IF(gen!$C$48&lt;&gt;0,gen!$C$48,"  ")</f>
        <v>  </v>
      </c>
      <c r="C16" s="427" t="str">
        <f>IF(inputPrYr!D38&gt;0,inputPrYr!D38,"  ")</f>
        <v>  </v>
      </c>
      <c r="D16" s="72" t="str">
        <f>IF(gen!$D$48&lt;&gt;0,gen!$D$48,"  ")</f>
        <v>  </v>
      </c>
      <c r="E16" s="427" t="str">
        <f>IF(inputOth!D18&gt;0,inputOth!D18,"  ")</f>
        <v>  </v>
      </c>
      <c r="F16" s="72" t="str">
        <f>IF(gen!$E$48&lt;&gt;0,gen!$E$48,"  ")</f>
        <v>  </v>
      </c>
      <c r="G16" s="72" t="str">
        <f>IF(gen!$E$55&lt;&gt;0,gen!$E$55,"  ")</f>
        <v>  </v>
      </c>
      <c r="H16" s="427" t="str">
        <f>IF(gen!E55&gt;0,ROUND(G16/$F$27*1000,3)," ")</f>
        <v> </v>
      </c>
      <c r="J16" s="417" t="str">
        <f>CONCATENATE("",I3-1," Mill Rate Was:")</f>
        <v>-1 Mill Rate Was:</v>
      </c>
      <c r="K16" s="422"/>
      <c r="L16" s="422"/>
      <c r="M16" s="415">
        <f>E23</f>
        <v>0</v>
      </c>
    </row>
    <row r="17" spans="1:13" ht="15.75">
      <c r="A17" s="11" t="s">
        <v>226</v>
      </c>
      <c r="B17" s="72" t="str">
        <f>IF(DebtService!$C$56&lt;&gt;0,DebtService!$C$56,"  ")</f>
        <v>  </v>
      </c>
      <c r="C17" s="427" t="str">
        <f>IF(inputPrYr!D39&gt;0,inputPrYr!D39,"  ")</f>
        <v>  </v>
      </c>
      <c r="D17" s="72" t="str">
        <f>IF(DebtService!$D$56&lt;&gt;0,DebtService!$D$56,"  ")</f>
        <v>  </v>
      </c>
      <c r="E17" s="427" t="str">
        <f>IF(inputOth!D19&gt;0,inputOth!D19,"  ")</f>
        <v>  </v>
      </c>
      <c r="F17" s="72" t="str">
        <f>IF(DebtService!$E$56&lt;&gt;0,DebtService!$E$56,"  ")</f>
        <v>  </v>
      </c>
      <c r="G17" s="72" t="str">
        <f>IF(DebtService!$E$63&lt;&gt;0,DebtService!$E$63,"  ")</f>
        <v>  </v>
      </c>
      <c r="H17" s="427" t="str">
        <f>IF(DebtService!E63&gt;0,ROUND(G17/$F$27*1000,3)," ")</f>
        <v> </v>
      </c>
      <c r="J17" s="414" t="str">
        <f>CONCATENATE("",I3," Tax Levy Fund Expenditures Must Be")</f>
        <v>0 Tax Levy Fund Expenditures Must Be</v>
      </c>
      <c r="K17" s="413"/>
      <c r="L17" s="413"/>
      <c r="M17" s="416"/>
    </row>
    <row r="18" spans="1:13" ht="15.75">
      <c r="A18" s="11" t="str">
        <f>IF(inputPrYr!$B22&gt;"  ",inputPrYr!$B22,"  ")</f>
        <v>  </v>
      </c>
      <c r="B18" s="72" t="str">
        <f>IF(levypage8!$C$35&lt;&gt;0,levypage8!$C$35,"  ")</f>
        <v>  </v>
      </c>
      <c r="C18" s="427" t="str">
        <f>IF(inputPrYr!D40&gt;0,inputPrYr!D40,"  ")</f>
        <v>  </v>
      </c>
      <c r="D18" s="72" t="str">
        <f>IF(levypage8!$D$35&lt;&gt;0,levypage8!$D$35,"  ")</f>
        <v>  </v>
      </c>
      <c r="E18" s="427" t="str">
        <f>IF(inputOth!D20&gt;0,inputOth!D20,"  ")</f>
        <v>  </v>
      </c>
      <c r="F18" s="72" t="str">
        <f>IF(levypage8!$E$35&lt;&gt;0,levypage8!$E$35,"  ")</f>
        <v>  </v>
      </c>
      <c r="G18" s="72" t="str">
        <f>IF(levypage8!$E$42&lt;&gt;0,levypage8!$E$42,"  ")</f>
        <v>  </v>
      </c>
      <c r="H18" s="427" t="str">
        <f>IF(levypage8!E42&gt;0,ROUND(G18/$F$27*1000,3)," ")</f>
        <v> </v>
      </c>
      <c r="J18" s="414">
        <f>IF(M18&gt;0,"Increased By:","")</f>
      </c>
      <c r="K18" s="413"/>
      <c r="L18" s="413"/>
      <c r="M18" s="412">
        <f>IF(M25&lt;0,M25*-1,0)</f>
        <v>0</v>
      </c>
    </row>
    <row r="19" spans="1:13" ht="15.75">
      <c r="A19" s="11" t="str">
        <f>IF(inputPrYr!$B23&gt;"  ",inputPrYr!$B23,"  ")</f>
        <v>  </v>
      </c>
      <c r="B19" s="72" t="str">
        <f>IF(levypage8!$C$75&lt;&gt;0,levypage8!$C$75,"  ")</f>
        <v>  </v>
      </c>
      <c r="C19" s="427" t="str">
        <f>IF(inputPrYr!D41&gt;0,inputPrYr!D41,"  ")</f>
        <v>  </v>
      </c>
      <c r="D19" s="72" t="str">
        <f>IF(levypage8!$D$75&lt;&gt;0,levypage8!$D$75,"  ")</f>
        <v>  </v>
      </c>
      <c r="E19" s="427" t="str">
        <f>IF(inputOth!D21&gt;0,inputOth!D21,"  ")</f>
        <v>  </v>
      </c>
      <c r="F19" s="72" t="str">
        <f>IF(levypage8!$E$75&lt;&gt;0,levypage8!$E$75,"  ")</f>
        <v>  </v>
      </c>
      <c r="G19" s="72" t="str">
        <f>IF(levypage8!$E$82&lt;&gt;0,levypage8!$E$82,"  ")</f>
        <v>  </v>
      </c>
      <c r="H19" s="427" t="str">
        <f>IF(levypage8!E82&gt;0,ROUND(G19/$F$27*1000,3)," ")</f>
        <v> </v>
      </c>
      <c r="J19" s="411">
        <f>IF(M19&lt;0,"Reduced By:","")</f>
      </c>
      <c r="K19" s="410"/>
      <c r="L19" s="410"/>
      <c r="M19" s="409">
        <f>IF(M25&gt;0,M25*-1,0)</f>
        <v>0</v>
      </c>
    </row>
    <row r="20" spans="1:13" ht="15.75">
      <c r="A20" s="11" t="str">
        <f>IF(inputPrYr!$B26&gt;"  ",inputPrYr!$B26,"  ")</f>
        <v>  </v>
      </c>
      <c r="B20" s="72" t="str">
        <f>IF(nolevypage9!$C$31&lt;&gt;0,nolevypage9!$C$31,"  ")</f>
        <v>  </v>
      </c>
      <c r="C20" s="427"/>
      <c r="D20" s="72" t="str">
        <f>IF(nolevypage9!$D$31&lt;&gt;0,nolevypage9!$D$31,"  ")</f>
        <v>  </v>
      </c>
      <c r="E20" s="427"/>
      <c r="F20" s="72" t="str">
        <f>IF(nolevypage9!$E$31&lt;&gt;0,nolevypage9!$E$31,"  ")</f>
        <v>  </v>
      </c>
      <c r="G20" s="72"/>
      <c r="H20" s="427"/>
      <c r="J20" s="408"/>
      <c r="K20" s="408"/>
      <c r="L20" s="408"/>
      <c r="M20" s="408"/>
    </row>
    <row r="21" spans="1:13" ht="15.75">
      <c r="A21" s="11" t="str">
        <f>IF(inputPrYr!$B27&gt;"  ",inputPrYr!$B27,"  ")</f>
        <v>  </v>
      </c>
      <c r="B21" s="72" t="str">
        <f>IF(nolevypage9!$C$64&lt;&gt;0,nolevypage9!$C$64,"  ")</f>
        <v>  </v>
      </c>
      <c r="C21" s="427"/>
      <c r="D21" s="72" t="str">
        <f>IF(nolevypage9!$D$64&lt;&gt;0,nolevypage9!$D$64,"  ")</f>
        <v>  </v>
      </c>
      <c r="E21" s="427"/>
      <c r="F21" s="72" t="str">
        <f>IF(nolevypage9!$E$64&lt;&gt;0,nolevypage9!$E$64,"  ")</f>
        <v>  </v>
      </c>
      <c r="G21" s="72"/>
      <c r="H21" s="427"/>
      <c r="J21" s="832" t="str">
        <f>CONCATENATE("Impact On Keeping The Same Mill Rate As For ",I3-1,"")</f>
        <v>Impact On Keeping The Same Mill Rate As For -1</v>
      </c>
      <c r="K21" s="837"/>
      <c r="L21" s="837"/>
      <c r="M21" s="838"/>
    </row>
    <row r="22" spans="1:13" ht="15.75">
      <c r="A22" s="182">
        <f>IF((inputPrYr!$B$30&gt;" "),(NonBud!$A$3),"")</f>
      </c>
      <c r="B22" s="72">
        <f>IF(NonBud!K28&gt;0,NonBud!K28,"")</f>
      </c>
      <c r="C22" s="427"/>
      <c r="D22" s="72"/>
      <c r="E22" s="427"/>
      <c r="F22" s="72"/>
      <c r="G22" s="72"/>
      <c r="H22" s="427"/>
      <c r="J22" s="417"/>
      <c r="K22" s="422"/>
      <c r="L22" s="422"/>
      <c r="M22" s="416"/>
    </row>
    <row r="23" spans="1:13" ht="15.75">
      <c r="A23" s="14" t="s">
        <v>120</v>
      </c>
      <c r="B23" s="133">
        <f>SUM(B16:B22)</f>
        <v>0</v>
      </c>
      <c r="C23" s="426">
        <f aca="true" t="shared" si="0" ref="C23:H23">SUM(C16:C21)</f>
        <v>0</v>
      </c>
      <c r="D23" s="133">
        <f t="shared" si="0"/>
        <v>0</v>
      </c>
      <c r="E23" s="426">
        <f t="shared" si="0"/>
        <v>0</v>
      </c>
      <c r="F23" s="133">
        <f t="shared" si="0"/>
        <v>0</v>
      </c>
      <c r="G23" s="133">
        <f t="shared" si="0"/>
        <v>0</v>
      </c>
      <c r="H23" s="426">
        <f t="shared" si="0"/>
        <v>0</v>
      </c>
      <c r="J23" s="417" t="str">
        <f>CONCATENATE("",I3," Ad Valorem Tax Revenue:")</f>
        <v>0 Ad Valorem Tax Revenue:</v>
      </c>
      <c r="K23" s="422"/>
      <c r="L23" s="422"/>
      <c r="M23" s="421">
        <f>G23</f>
        <v>0</v>
      </c>
    </row>
    <row r="24" spans="1:13" ht="15.75">
      <c r="A24" s="14" t="s">
        <v>146</v>
      </c>
      <c r="B24" s="133">
        <f>transfers!C26</f>
        <v>0</v>
      </c>
      <c r="C24" s="183"/>
      <c r="D24" s="133">
        <f>transfers!D26</f>
        <v>0</v>
      </c>
      <c r="E24" s="183"/>
      <c r="F24" s="112">
        <f>transfers!E26</f>
        <v>0</v>
      </c>
      <c r="G24" s="118"/>
      <c r="H24" s="184"/>
      <c r="J24" s="417" t="str">
        <f>CONCATENATE("",I3-1," Ad Valorem Tax Revenue:")</f>
        <v>-1 Ad Valorem Tax Revenue:</v>
      </c>
      <c r="K24" s="422"/>
      <c r="L24" s="422"/>
      <c r="M24" s="407">
        <f>ROUND(F27*M16/1000,0)</f>
        <v>0</v>
      </c>
    </row>
    <row r="25" spans="1:13" ht="16.5" thickBot="1">
      <c r="A25" s="14" t="s">
        <v>147</v>
      </c>
      <c r="B25" s="16">
        <f>SUM(B23-B24)</f>
        <v>0</v>
      </c>
      <c r="C25" s="185"/>
      <c r="D25" s="16">
        <f>SUM(D23-D24)</f>
        <v>0</v>
      </c>
      <c r="E25" s="185"/>
      <c r="F25" s="429">
        <f>SUM(F23-F24)</f>
        <v>0</v>
      </c>
      <c r="G25" s="118"/>
      <c r="H25" s="184"/>
      <c r="J25" s="406" t="s">
        <v>610</v>
      </c>
      <c r="K25" s="405"/>
      <c r="L25" s="405"/>
      <c r="M25" s="418">
        <f>M23-M24</f>
        <v>0</v>
      </c>
    </row>
    <row r="26" spans="1:13" ht="16.5" thickTop="1">
      <c r="A26" s="14" t="s">
        <v>52</v>
      </c>
      <c r="B26" s="428">
        <f>inputPrYr!E44</f>
        <v>0</v>
      </c>
      <c r="C26" s="85"/>
      <c r="D26" s="428">
        <f>inputPrYr!E24</f>
        <v>0</v>
      </c>
      <c r="E26" s="85"/>
      <c r="F26" s="528" t="s">
        <v>26</v>
      </c>
      <c r="G26" s="1"/>
      <c r="H26" s="1"/>
      <c r="J26" s="404"/>
      <c r="K26" s="404"/>
      <c r="L26" s="404"/>
      <c r="M26" s="408"/>
    </row>
    <row r="27" spans="1:13" ht="15.75">
      <c r="A27" s="14" t="s">
        <v>148</v>
      </c>
      <c r="B27" s="133">
        <f>inputPrYr!E45</f>
        <v>0</v>
      </c>
      <c r="C27" s="85"/>
      <c r="D27" s="133">
        <f>inputOth!E26</f>
        <v>0</v>
      </c>
      <c r="E27" s="85"/>
      <c r="F27" s="133">
        <f>IF(inputOth!E14&gt;0,inputOth!E7-inputOth!E14+inputOth!E13,inputOth!E7)</f>
        <v>0</v>
      </c>
      <c r="G27" s="1"/>
      <c r="H27" s="1"/>
      <c r="J27" s="832" t="s">
        <v>611</v>
      </c>
      <c r="K27" s="835"/>
      <c r="L27" s="835"/>
      <c r="M27" s="836"/>
    </row>
    <row r="28" spans="1:13" ht="15.75">
      <c r="A28" s="186"/>
      <c r="B28" s="118"/>
      <c r="C28" s="75"/>
      <c r="D28" s="118"/>
      <c r="E28" s="75"/>
      <c r="F28" s="118"/>
      <c r="G28" s="1"/>
      <c r="H28" s="1"/>
      <c r="J28" s="417"/>
      <c r="K28" s="422"/>
      <c r="L28" s="422"/>
      <c r="M28" s="416"/>
    </row>
    <row r="29" spans="1:13" ht="15.75">
      <c r="A29" s="17" t="s">
        <v>53</v>
      </c>
      <c r="B29" s="1"/>
      <c r="C29" s="1"/>
      <c r="D29" s="1"/>
      <c r="E29" s="1"/>
      <c r="F29" s="1"/>
      <c r="G29" s="1"/>
      <c r="H29" s="1"/>
      <c r="J29" s="417" t="str">
        <f>CONCATENATE("Current ",I3," Estimated Mill Rate:")</f>
        <v>Current 0 Estimated Mill Rate:</v>
      </c>
      <c r="K29" s="422"/>
      <c r="L29" s="422"/>
      <c r="M29" s="415">
        <f>H23</f>
        <v>0</v>
      </c>
    </row>
    <row r="30" spans="1:13" ht="15.75">
      <c r="A30" s="17" t="s">
        <v>145</v>
      </c>
      <c r="B30" s="172">
        <f>I3-3</f>
        <v>-3</v>
      </c>
      <c r="C30" s="1"/>
      <c r="D30" s="172">
        <f>I3-2</f>
        <v>-2</v>
      </c>
      <c r="E30" s="1"/>
      <c r="F30" s="172">
        <f>I3-1</f>
        <v>-1</v>
      </c>
      <c r="G30" s="1"/>
      <c r="H30" s="1"/>
      <c r="J30" s="417" t="str">
        <f>CONCATENATE("Desired ",I3," Mill Rate:")</f>
        <v>Desired 0 Mill Rate:</v>
      </c>
      <c r="K30" s="422"/>
      <c r="L30" s="422"/>
      <c r="M30" s="403">
        <v>0</v>
      </c>
    </row>
    <row r="31" spans="1:13" ht="15.75">
      <c r="A31" s="17" t="s">
        <v>54</v>
      </c>
      <c r="B31" s="187">
        <f>inputPrYr!D48</f>
        <v>0</v>
      </c>
      <c r="C31" s="5"/>
      <c r="D31" s="187">
        <f>inputPrYr!E48</f>
        <v>0</v>
      </c>
      <c r="E31" s="1"/>
      <c r="F31" s="187">
        <f>debt!F12</f>
        <v>0</v>
      </c>
      <c r="G31" s="1"/>
      <c r="H31" s="6"/>
      <c r="J31" s="417" t="str">
        <f>CONCATENATE("",I3," Ad Valorem Tax:")</f>
        <v>0 Ad Valorem Tax:</v>
      </c>
      <c r="K31" s="422"/>
      <c r="L31" s="422"/>
      <c r="M31" s="407">
        <f>ROUND(F27*M30/1000,0)</f>
        <v>0</v>
      </c>
    </row>
    <row r="32" spans="1:13" ht="15.75">
      <c r="A32" s="1" t="s">
        <v>55</v>
      </c>
      <c r="B32" s="187">
        <f>inputPrYr!D49</f>
        <v>0</v>
      </c>
      <c r="C32" s="1"/>
      <c r="D32" s="187">
        <f>inputPrYr!E49</f>
        <v>0</v>
      </c>
      <c r="E32" s="1"/>
      <c r="F32" s="187">
        <f>debt!F16</f>
        <v>0</v>
      </c>
      <c r="G32" s="1"/>
      <c r="H32" s="6"/>
      <c r="J32" s="406" t="str">
        <f>CONCATENATE("",I3," Tax Levy Fund Exp. Changed By:")</f>
        <v>0 Tax Levy Fund Exp. Changed By:</v>
      </c>
      <c r="K32" s="405"/>
      <c r="L32" s="405"/>
      <c r="M32" s="418">
        <f>IF(M30=0,0,(M31-G23))</f>
        <v>0</v>
      </c>
    </row>
    <row r="33" spans="1:8" ht="15.75">
      <c r="A33" s="17" t="s">
        <v>56</v>
      </c>
      <c r="B33" s="187">
        <f>inputPrYr!D50</f>
        <v>0</v>
      </c>
      <c r="C33" s="5"/>
      <c r="D33" s="187">
        <f>inputPrYr!E50</f>
        <v>0</v>
      </c>
      <c r="E33" s="1"/>
      <c r="F33" s="187">
        <f>debt!F20</f>
        <v>0</v>
      </c>
      <c r="G33" s="1"/>
      <c r="H33" s="6"/>
    </row>
    <row r="34" spans="1:8" ht="15.75">
      <c r="A34" s="17" t="s">
        <v>121</v>
      </c>
      <c r="B34" s="187">
        <f>inputPrYr!D51</f>
        <v>0</v>
      </c>
      <c r="C34" s="1"/>
      <c r="D34" s="187">
        <f>inputPrYr!E51</f>
        <v>0</v>
      </c>
      <c r="E34" s="1"/>
      <c r="F34" s="187">
        <f>debt!G39</f>
        <v>0</v>
      </c>
      <c r="G34" s="1"/>
      <c r="H34" s="6"/>
    </row>
    <row r="35" spans="1:8" ht="16.5" thickBot="1">
      <c r="A35" s="134" t="s">
        <v>57</v>
      </c>
      <c r="B35" s="188">
        <f>SUM(B31:B34)</f>
        <v>0</v>
      </c>
      <c r="C35" s="1"/>
      <c r="D35" s="188">
        <f>SUM(D31:D34)</f>
        <v>0</v>
      </c>
      <c r="E35" s="1"/>
      <c r="F35" s="188">
        <f>SUM(F31:F34)</f>
        <v>0</v>
      </c>
      <c r="G35" s="189"/>
      <c r="H35" s="6"/>
    </row>
    <row r="36" spans="1:8" ht="16.5" thickTop="1">
      <c r="A36" s="134" t="s">
        <v>58</v>
      </c>
      <c r="B36" s="1"/>
      <c r="C36" s="1"/>
      <c r="D36" s="1"/>
      <c r="E36" s="93"/>
      <c r="F36" s="93"/>
      <c r="G36" s="1"/>
      <c r="H36" s="6"/>
    </row>
    <row r="37" spans="1:8" ht="15.75">
      <c r="A37" s="6"/>
      <c r="B37" s="1"/>
      <c r="C37" s="1"/>
      <c r="D37" s="1"/>
      <c r="E37" s="1"/>
      <c r="F37" s="1"/>
      <c r="G37" s="1"/>
      <c r="H37" s="6"/>
    </row>
    <row r="38" spans="1:8" ht="15.75">
      <c r="A38" s="138"/>
      <c r="B38" s="1"/>
      <c r="C38" s="1"/>
      <c r="D38" s="1"/>
      <c r="E38" s="1"/>
      <c r="F38" s="1"/>
      <c r="G38" s="1"/>
      <c r="H38" s="138"/>
    </row>
    <row r="39" spans="1:8" ht="15.75">
      <c r="A39" s="839">
        <f>inputBudSum!B4</f>
        <v>0</v>
      </c>
      <c r="B39" s="781"/>
      <c r="C39" s="13"/>
      <c r="D39" s="1"/>
      <c r="E39" s="1"/>
      <c r="F39" s="1"/>
      <c r="G39" s="1"/>
      <c r="H39" s="6"/>
    </row>
    <row r="40" spans="1:8" ht="15.75">
      <c r="A40" s="830">
        <f>inputBudSum!B6</f>
        <v>0</v>
      </c>
      <c r="B40" s="825"/>
      <c r="C40" s="1"/>
      <c r="D40" s="4" t="s">
        <v>44</v>
      </c>
      <c r="E40" s="673"/>
      <c r="F40" s="1"/>
      <c r="G40" s="1"/>
      <c r="H40" s="6"/>
    </row>
    <row r="42" spans="1:8" ht="15.75">
      <c r="A42" s="3"/>
      <c r="B42" s="3"/>
      <c r="C42" s="3"/>
      <c r="D42" s="3"/>
      <c r="E42" s="3"/>
      <c r="F42" s="3"/>
      <c r="G42" s="3"/>
      <c r="H42" s="3"/>
    </row>
    <row r="44" spans="1:8" ht="15.75">
      <c r="A44" s="3"/>
      <c r="B44" s="3"/>
      <c r="C44" s="3"/>
      <c r="D44" s="3"/>
      <c r="E44" s="3"/>
      <c r="F44" s="3"/>
      <c r="G44" s="3"/>
      <c r="H44" s="3"/>
    </row>
    <row r="45" spans="1:8" ht="15.75">
      <c r="A45" s="3"/>
      <c r="B45" s="3"/>
      <c r="C45" s="3"/>
      <c r="D45" s="3"/>
      <c r="E45" s="3"/>
      <c r="F45" s="3"/>
      <c r="G45" s="3"/>
      <c r="H45" s="3"/>
    </row>
    <row r="46" spans="1:8" ht="15.75">
      <c r="A46" s="3"/>
      <c r="B46" s="3"/>
      <c r="C46" s="3"/>
      <c r="D46" s="3"/>
      <c r="E46" s="3"/>
      <c r="F46" s="3"/>
      <c r="G46" s="3"/>
      <c r="H46" s="3"/>
    </row>
    <row r="47" spans="1:8" ht="15.75">
      <c r="A47" s="3"/>
      <c r="B47" s="3"/>
      <c r="C47" s="3"/>
      <c r="D47" s="3"/>
      <c r="E47" s="3"/>
      <c r="F47" s="3"/>
      <c r="G47" s="3"/>
      <c r="H47" s="3"/>
    </row>
    <row r="48" spans="1:8" ht="15.75">
      <c r="A48" s="3"/>
      <c r="B48" s="3"/>
      <c r="C48" s="3"/>
      <c r="D48" s="3"/>
      <c r="E48" s="3"/>
      <c r="F48" s="3"/>
      <c r="G48" s="3"/>
      <c r="H48" s="3"/>
    </row>
    <row r="49" spans="1:8" ht="15.75">
      <c r="A49" s="3"/>
      <c r="B49" s="3"/>
      <c r="C49" s="3"/>
      <c r="D49" s="3"/>
      <c r="E49" s="3"/>
      <c r="F49" s="3"/>
      <c r="G49" s="3"/>
      <c r="H49" s="3"/>
    </row>
    <row r="50" spans="1:8" ht="15.75">
      <c r="A50" s="3"/>
      <c r="B50" s="3"/>
      <c r="C50" s="3"/>
      <c r="D50" s="3"/>
      <c r="E50" s="3"/>
      <c r="F50" s="3"/>
      <c r="G50" s="3"/>
      <c r="H50" s="3"/>
    </row>
    <row r="51" spans="1:8" ht="15.75">
      <c r="A51" s="3"/>
      <c r="B51" s="3"/>
      <c r="C51" s="3"/>
      <c r="D51" s="3"/>
      <c r="E51" s="3"/>
      <c r="F51" s="3"/>
      <c r="G51" s="3"/>
      <c r="H51" s="3"/>
    </row>
    <row r="52" spans="1:8" ht="15.75">
      <c r="A52" s="3"/>
      <c r="B52" s="3"/>
      <c r="C52" s="3"/>
      <c r="D52" s="3"/>
      <c r="E52" s="3"/>
      <c r="F52" s="3"/>
      <c r="G52" s="3"/>
      <c r="H52" s="3"/>
    </row>
  </sheetData>
  <sheetProtection sheet="1" objects="1" scenarios="1"/>
  <mergeCells count="12">
    <mergeCell ref="A1:H1"/>
    <mergeCell ref="G14:G15"/>
    <mergeCell ref="A3:H3"/>
    <mergeCell ref="A4:H4"/>
    <mergeCell ref="A5:H5"/>
    <mergeCell ref="A40:B40"/>
    <mergeCell ref="A6:H6"/>
    <mergeCell ref="J10:M10"/>
    <mergeCell ref="J14:M14"/>
    <mergeCell ref="J21:M21"/>
    <mergeCell ref="J27:M27"/>
    <mergeCell ref="A39:B3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F48"/>
  <sheetViews>
    <sheetView zoomScalePageLayoutView="0" workbookViewId="0" topLeftCell="A1">
      <selection activeCell="R64" sqref="R64"/>
    </sheetView>
  </sheetViews>
  <sheetFormatPr defaultColWidth="8.796875" defaultRowHeight="15"/>
  <cols>
    <col min="1" max="1" width="12.69921875" style="0" customWidth="1"/>
    <col min="2" max="2" width="21.69921875" style="0" customWidth="1"/>
    <col min="3" max="5" width="11.796875" style="0" customWidth="1"/>
  </cols>
  <sheetData>
    <row r="1" spans="1:6" ht="15.75">
      <c r="A1" s="252">
        <f>inputPrYr!D3</f>
        <v>0</v>
      </c>
      <c r="B1" s="251"/>
      <c r="C1" s="251"/>
      <c r="D1" s="251"/>
      <c r="E1" s="251"/>
      <c r="F1" s="250">
        <f>inputPrYr!D6</f>
        <v>0</v>
      </c>
    </row>
    <row r="2" spans="1:6" ht="15.75">
      <c r="A2" s="248"/>
      <c r="B2" s="251"/>
      <c r="C2" s="251"/>
      <c r="D2" s="251"/>
      <c r="E2" s="251"/>
      <c r="F2" s="251"/>
    </row>
    <row r="3" spans="1:6" ht="15.75">
      <c r="A3" s="251"/>
      <c r="B3" s="251"/>
      <c r="C3" s="251"/>
      <c r="D3" s="251"/>
      <c r="E3" s="251"/>
      <c r="F3" s="251"/>
    </row>
    <row r="4" spans="1:6" ht="15.75">
      <c r="A4" s="250"/>
      <c r="B4" s="856" t="str">
        <f>CONCATENATE("",F1," Computation of Net Assessed Valuation Concerning TIF District")</f>
        <v>0 Computation of Net Assessed Valuation Concerning TIF District</v>
      </c>
      <c r="C4" s="857"/>
      <c r="D4" s="857"/>
      <c r="E4" s="855"/>
      <c r="F4" s="251"/>
    </row>
    <row r="5" spans="1:6" ht="15.75">
      <c r="A5" s="250"/>
      <c r="B5" s="856" t="s">
        <v>230</v>
      </c>
      <c r="C5" s="855"/>
      <c r="D5" s="855"/>
      <c r="E5" s="855"/>
      <c r="F5" s="251"/>
    </row>
    <row r="6" spans="1:6" ht="15.75">
      <c r="A6" s="250"/>
      <c r="B6" s="249"/>
      <c r="C6" s="251"/>
      <c r="D6" s="251"/>
      <c r="E6" s="251"/>
      <c r="F6" s="251"/>
    </row>
    <row r="7" spans="1:6" ht="15.75">
      <c r="A7" s="250"/>
      <c r="B7" s="861" t="s">
        <v>509</v>
      </c>
      <c r="C7" s="862"/>
      <c r="D7" s="863"/>
      <c r="E7" s="247"/>
      <c r="F7" s="251" t="s">
        <v>231</v>
      </c>
    </row>
    <row r="8" spans="1:6" ht="15.75">
      <c r="A8" s="250"/>
      <c r="B8" s="861" t="s">
        <v>232</v>
      </c>
      <c r="C8" s="862"/>
      <c r="D8" s="863"/>
      <c r="E8" s="244"/>
      <c r="F8" s="251" t="s">
        <v>231</v>
      </c>
    </row>
    <row r="9" spans="1:6" ht="15.75">
      <c r="A9" s="250"/>
      <c r="B9" s="253" t="s">
        <v>233</v>
      </c>
      <c r="C9" s="250"/>
      <c r="D9" s="250"/>
      <c r="E9" s="243">
        <f>SUM(E7-E8)</f>
        <v>0</v>
      </c>
      <c r="F9" s="251"/>
    </row>
    <row r="10" spans="1:6" ht="15.75">
      <c r="A10" s="250"/>
      <c r="B10" s="864" t="s">
        <v>234</v>
      </c>
      <c r="C10" s="865"/>
      <c r="D10" s="866"/>
      <c r="E10" s="243">
        <f>IF(E8&gt;0,inputOth!E13,0)</f>
        <v>0</v>
      </c>
      <c r="F10" s="251"/>
    </row>
    <row r="11" spans="1:6" ht="15.75">
      <c r="A11" s="250"/>
      <c r="B11" s="254" t="s">
        <v>510</v>
      </c>
      <c r="C11" s="255"/>
      <c r="D11" s="256"/>
      <c r="E11" s="275">
        <f>SUM(E9:E10)</f>
        <v>0</v>
      </c>
      <c r="F11" s="251" t="s">
        <v>198</v>
      </c>
    </row>
    <row r="12" spans="1:6" ht="15.75">
      <c r="A12" s="250"/>
      <c r="B12" s="249"/>
      <c r="C12" s="251"/>
      <c r="D12" s="251"/>
      <c r="E12" s="251"/>
      <c r="F12" s="251"/>
    </row>
    <row r="13" spans="1:6" ht="15.75">
      <c r="A13" s="250"/>
      <c r="B13" s="852" t="s">
        <v>235</v>
      </c>
      <c r="C13" s="854"/>
      <c r="D13" s="854"/>
      <c r="E13" s="854"/>
      <c r="F13" s="251"/>
    </row>
    <row r="14" spans="1:6" ht="15.75">
      <c r="A14" s="250"/>
      <c r="B14" s="852" t="s">
        <v>236</v>
      </c>
      <c r="C14" s="855"/>
      <c r="D14" s="855"/>
      <c r="E14" s="855"/>
      <c r="F14" s="251"/>
    </row>
    <row r="15" spans="1:6" ht="15.75">
      <c r="A15" s="250"/>
      <c r="B15" s="249"/>
      <c r="C15" s="251"/>
      <c r="D15" s="251"/>
      <c r="E15" s="251"/>
      <c r="F15" s="251"/>
    </row>
    <row r="16" spans="1:6" ht="15.75">
      <c r="A16" s="250"/>
      <c r="B16" s="856" t="str">
        <f>CONCATENATE("",F1," Computation of Distribution for Ad Valorem Tax to TIF District")</f>
        <v>0 Computation of Distribution for Ad Valorem Tax to TIF District</v>
      </c>
      <c r="C16" s="855"/>
      <c r="D16" s="855"/>
      <c r="E16" s="855"/>
      <c r="F16" s="251"/>
    </row>
    <row r="17" spans="1:6" ht="15.75">
      <c r="A17" s="250"/>
      <c r="B17" s="249"/>
      <c r="C17" s="251"/>
      <c r="D17" s="251"/>
      <c r="E17" s="251"/>
      <c r="F17" s="251"/>
    </row>
    <row r="18" spans="1:6" ht="16.5" thickBot="1">
      <c r="A18" s="250"/>
      <c r="B18" s="843" t="s">
        <v>237</v>
      </c>
      <c r="C18" s="844"/>
      <c r="D18" s="845"/>
      <c r="E18" s="257"/>
      <c r="F18" s="251"/>
    </row>
    <row r="19" spans="1:6" ht="15.75">
      <c r="A19" s="250"/>
      <c r="B19" s="258" t="s">
        <v>238</v>
      </c>
      <c r="C19" s="259"/>
      <c r="D19" s="259"/>
      <c r="E19" s="243">
        <f>E8</f>
        <v>0</v>
      </c>
      <c r="F19" s="251"/>
    </row>
    <row r="20" spans="1:6" ht="15.75">
      <c r="A20" s="250"/>
      <c r="B20" s="260" t="str">
        <f>CONCATENATE("",F1-1," Mill Levy from Certificate Page:")</f>
        <v>-1 Mill Levy from Certificate Page:</v>
      </c>
      <c r="C20" s="261"/>
      <c r="D20" s="261"/>
      <c r="E20" s="245">
        <f>IF(E19&gt;0,cert!G30,0)</f>
        <v>0</v>
      </c>
      <c r="F20" s="251"/>
    </row>
    <row r="21" spans="1:6" ht="15.75">
      <c r="A21" s="250"/>
      <c r="B21" s="260" t="s">
        <v>239</v>
      </c>
      <c r="C21" s="261"/>
      <c r="D21" s="262"/>
      <c r="E21" s="360">
        <f>IF(E19&gt;0,E19*E20*0.001,0)</f>
        <v>0</v>
      </c>
      <c r="F21" s="251"/>
    </row>
    <row r="22" spans="1:6" ht="15.75">
      <c r="A22" s="250"/>
      <c r="B22" s="263"/>
      <c r="C22" s="264"/>
      <c r="D22" s="264"/>
      <c r="E22" s="246"/>
      <c r="F22" s="251"/>
    </row>
    <row r="23" spans="1:6" ht="16.5" thickBot="1">
      <c r="A23" s="250"/>
      <c r="B23" s="846" t="s">
        <v>240</v>
      </c>
      <c r="C23" s="847"/>
      <c r="D23" s="848"/>
      <c r="E23" s="243"/>
      <c r="F23" s="251"/>
    </row>
    <row r="24" spans="1:6" ht="15.75">
      <c r="A24" s="250"/>
      <c r="B24" s="258" t="s">
        <v>241</v>
      </c>
      <c r="C24" s="265"/>
      <c r="D24" s="265"/>
      <c r="E24" s="243">
        <f>E10</f>
        <v>0</v>
      </c>
      <c r="F24" s="251"/>
    </row>
    <row r="25" spans="1:6" ht="15.75">
      <c r="A25" s="250"/>
      <c r="B25" s="260" t="str">
        <f>CONCATENATE("",F1-1," Mill Levy from Certificate Page:")</f>
        <v>-1 Mill Levy from Certificate Page:</v>
      </c>
      <c r="C25" s="261"/>
      <c r="D25" s="261"/>
      <c r="E25" s="245">
        <f>IF(E24&gt;0,cert!G30,0)</f>
        <v>0</v>
      </c>
      <c r="F25" s="251"/>
    </row>
    <row r="26" spans="1:6" ht="15.75">
      <c r="A26" s="250"/>
      <c r="B26" s="260" t="s">
        <v>242</v>
      </c>
      <c r="C26" s="261"/>
      <c r="D26" s="262"/>
      <c r="E26" s="361">
        <f>IF(E24&gt;0,E24*E25*0.001,0)</f>
        <v>0</v>
      </c>
      <c r="F26" s="251"/>
    </row>
    <row r="27" spans="1:6" ht="15.75">
      <c r="A27" s="250"/>
      <c r="B27" s="263"/>
      <c r="C27" s="264"/>
      <c r="D27" s="264"/>
      <c r="E27" s="246"/>
      <c r="F27" s="251"/>
    </row>
    <row r="28" spans="1:6" ht="15.75">
      <c r="A28" s="250"/>
      <c r="B28" s="849" t="s">
        <v>243</v>
      </c>
      <c r="C28" s="850"/>
      <c r="D28" s="851"/>
      <c r="E28" s="243"/>
      <c r="F28" s="251"/>
    </row>
    <row r="29" spans="1:6" ht="15.75">
      <c r="A29" s="250"/>
      <c r="B29" s="260" t="s">
        <v>239</v>
      </c>
      <c r="C29" s="261"/>
      <c r="D29" s="261"/>
      <c r="E29" s="360">
        <f>E21</f>
        <v>0</v>
      </c>
      <c r="F29" s="251"/>
    </row>
    <row r="30" spans="1:6" ht="15.75">
      <c r="A30" s="250"/>
      <c r="B30" s="260" t="s">
        <v>244</v>
      </c>
      <c r="C30" s="261"/>
      <c r="D30" s="261"/>
      <c r="E30" s="361">
        <f>E26</f>
        <v>0</v>
      </c>
      <c r="F30" s="251"/>
    </row>
    <row r="31" spans="1:6" ht="15.75">
      <c r="A31" s="250"/>
      <c r="B31" s="266" t="s">
        <v>245</v>
      </c>
      <c r="C31" s="261"/>
      <c r="D31" s="261"/>
      <c r="E31" s="275">
        <f>E29-E30</f>
        <v>0</v>
      </c>
      <c r="F31" s="251" t="s">
        <v>246</v>
      </c>
    </row>
    <row r="32" spans="1:6" ht="15.75">
      <c r="A32" s="250"/>
      <c r="B32" s="267"/>
      <c r="C32" s="246"/>
      <c r="D32" s="264"/>
      <c r="E32" s="246"/>
      <c r="F32" s="251"/>
    </row>
    <row r="33" spans="1:6" ht="15.75">
      <c r="A33" s="852" t="s">
        <v>247</v>
      </c>
      <c r="B33" s="853"/>
      <c r="C33" s="853"/>
      <c r="D33" s="853"/>
      <c r="E33" s="853"/>
      <c r="F33" s="853"/>
    </row>
    <row r="34" spans="1:6" ht="15.75">
      <c r="A34" s="250"/>
      <c r="B34" s="250"/>
      <c r="C34" s="250"/>
      <c r="D34" s="250"/>
      <c r="E34" s="250"/>
      <c r="F34" s="251"/>
    </row>
    <row r="35" spans="1:6" ht="15.75">
      <c r="A35" s="858"/>
      <c r="B35" s="859"/>
      <c r="C35" s="858"/>
      <c r="D35" s="246"/>
      <c r="E35" s="250"/>
      <c r="F35" s="251"/>
    </row>
    <row r="36" spans="1:6" ht="15.75">
      <c r="A36" s="250"/>
      <c r="B36" s="250"/>
      <c r="C36" s="250"/>
      <c r="D36" s="267"/>
      <c r="E36" s="250"/>
      <c r="F36" s="251"/>
    </row>
    <row r="37" spans="1:6" ht="15.75">
      <c r="A37" s="250"/>
      <c r="B37" s="858"/>
      <c r="C37" s="858"/>
      <c r="D37" s="264"/>
      <c r="E37" s="250"/>
      <c r="F37" s="251"/>
    </row>
    <row r="38" spans="1:6" ht="15.75">
      <c r="A38" s="250"/>
      <c r="B38" s="268"/>
      <c r="C38" s="268"/>
      <c r="D38" s="264"/>
      <c r="E38" s="250"/>
      <c r="F38" s="359"/>
    </row>
    <row r="39" spans="1:6" ht="15.75">
      <c r="A39" s="860"/>
      <c r="B39" s="855"/>
      <c r="C39" s="855"/>
      <c r="D39" s="270"/>
      <c r="E39" s="271"/>
      <c r="F39" s="271"/>
    </row>
    <row r="40" spans="1:6" ht="15">
      <c r="A40" s="271"/>
      <c r="B40" s="271"/>
      <c r="C40" s="271"/>
      <c r="D40" s="272"/>
      <c r="E40" s="271"/>
      <c r="F40" s="271"/>
    </row>
    <row r="41" spans="1:6" ht="15.75">
      <c r="A41" s="271"/>
      <c r="B41" s="860"/>
      <c r="C41" s="859"/>
      <c r="D41" s="273"/>
      <c r="E41" s="271"/>
      <c r="F41" s="271"/>
    </row>
    <row r="42" spans="1:6" ht="15">
      <c r="A42" s="271"/>
      <c r="B42" s="271"/>
      <c r="C42" s="271"/>
      <c r="D42" s="271"/>
      <c r="E42" s="271"/>
      <c r="F42" s="271"/>
    </row>
    <row r="43" spans="1:6" ht="15">
      <c r="A43" s="271"/>
      <c r="B43" s="271"/>
      <c r="C43" s="271"/>
      <c r="D43" s="271"/>
      <c r="E43" s="271"/>
      <c r="F43" s="271"/>
    </row>
    <row r="44" spans="1:6" ht="15">
      <c r="A44" s="271"/>
      <c r="B44" s="271"/>
      <c r="C44" s="271"/>
      <c r="D44" s="271"/>
      <c r="E44" s="271"/>
      <c r="F44" s="271"/>
    </row>
    <row r="45" spans="1:6" ht="15">
      <c r="A45" s="271"/>
      <c r="B45" s="271"/>
      <c r="C45" s="271"/>
      <c r="D45" s="271"/>
      <c r="E45" s="271"/>
      <c r="F45" s="271"/>
    </row>
    <row r="46" spans="1:6" ht="15">
      <c r="A46" s="271"/>
      <c r="B46" s="271"/>
      <c r="C46" s="271"/>
      <c r="D46" s="271"/>
      <c r="E46" s="271"/>
      <c r="F46" s="271"/>
    </row>
    <row r="47" spans="1:6" ht="15">
      <c r="A47" s="271"/>
      <c r="B47" s="271"/>
      <c r="C47" s="271"/>
      <c r="D47" s="271"/>
      <c r="E47" s="271"/>
      <c r="F47" s="271"/>
    </row>
    <row r="48" spans="1:6" ht="15.75">
      <c r="A48" s="271"/>
      <c r="B48" s="269"/>
      <c r="C48" s="271"/>
      <c r="D48" s="271"/>
      <c r="E48" s="271"/>
      <c r="F48" s="271"/>
    </row>
  </sheetData>
  <sheetProtection sheet="1"/>
  <mergeCells count="16">
    <mergeCell ref="B4:E4"/>
    <mergeCell ref="A35:C35"/>
    <mergeCell ref="B37:C37"/>
    <mergeCell ref="A39:C39"/>
    <mergeCell ref="B41:C41"/>
    <mergeCell ref="B5:E5"/>
    <mergeCell ref="B7:D7"/>
    <mergeCell ref="B8:D8"/>
    <mergeCell ref="B10:D10"/>
    <mergeCell ref="B16:E16"/>
    <mergeCell ref="B18:D18"/>
    <mergeCell ref="B23:D23"/>
    <mergeCell ref="B28:D28"/>
    <mergeCell ref="A33:F33"/>
    <mergeCell ref="B13:E13"/>
    <mergeCell ref="B14:E14"/>
  </mergeCells>
  <printOptions/>
  <pageMargins left="0.7" right="0.7" top="0.75" bottom="0.75" header="0.3" footer="0.3"/>
  <pageSetup blackAndWhite="1" fitToHeight="1" fitToWidth="1" horizontalDpi="600" verticalDpi="600" orientation="portrait" scale="96" r:id="rId1"/>
</worksheet>
</file>

<file path=xl/worksheets/sheet19.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R88" sqref="R88"/>
    </sheetView>
  </sheetViews>
  <sheetFormatPr defaultColWidth="8.796875" defaultRowHeight="15"/>
  <cols>
    <col min="1" max="1" width="12.69921875" style="38" customWidth="1"/>
    <col min="2" max="2" width="18.09765625" style="38" customWidth="1"/>
    <col min="3" max="5" width="11.796875" style="38" customWidth="1"/>
    <col min="6" max="16384" width="8.8984375" style="38" customWidth="1"/>
  </cols>
  <sheetData>
    <row r="1" spans="1:6" ht="15.75">
      <c r="A1" s="190">
        <f>inputPrYr!D3</f>
        <v>0</v>
      </c>
      <c r="B1" s="6"/>
      <c r="C1" s="6"/>
      <c r="D1" s="6"/>
      <c r="E1" s="6"/>
      <c r="F1" s="6">
        <f>inputPrYr!D6</f>
        <v>0</v>
      </c>
    </row>
    <row r="2" spans="1:6" ht="15.75">
      <c r="A2" s="190"/>
      <c r="B2" s="6"/>
      <c r="C2" s="6"/>
      <c r="D2" s="6"/>
      <c r="E2" s="6"/>
      <c r="F2" s="6"/>
    </row>
    <row r="3" spans="1:6" ht="15.75">
      <c r="A3" s="6"/>
      <c r="B3" s="6"/>
      <c r="C3" s="6"/>
      <c r="D3" s="6"/>
      <c r="E3" s="6"/>
      <c r="F3" s="6"/>
    </row>
    <row r="4" spans="1:6" ht="15.75">
      <c r="A4" s="1"/>
      <c r="B4" s="788" t="str">
        <f>CONCATENATE("",F1," Neighborhood Revitalization Rebate")</f>
        <v>0 Neighborhood Revitalization Rebate</v>
      </c>
      <c r="C4" s="869"/>
      <c r="D4" s="869"/>
      <c r="E4" s="799"/>
      <c r="F4" s="6"/>
    </row>
    <row r="5" spans="1:6" ht="15.75">
      <c r="A5" s="1"/>
      <c r="B5" s="1"/>
      <c r="C5" s="1"/>
      <c r="D5" s="1"/>
      <c r="E5" s="1"/>
      <c r="F5" s="6"/>
    </row>
    <row r="6" spans="1:6" ht="51.75" customHeight="1">
      <c r="A6" s="1"/>
      <c r="B6" s="8" t="str">
        <f>CONCATENATE("Budgeted Funds                       for ",F1,"")</f>
        <v>Budgeted Funds                       for 0</v>
      </c>
      <c r="C6" s="8" t="str">
        <f>CONCATENATE("",F1-1," Ad Valorem before Rebate**")</f>
        <v>-1 Ad Valorem before Rebate**</v>
      </c>
      <c r="D6" s="191" t="str">
        <f>CONCATENATE("",F1-1," Mil Rate before Rebate")</f>
        <v>-1 Mil Rate before Rebate</v>
      </c>
      <c r="E6" s="192" t="str">
        <f>CONCATENATE("Estimate ",F1," NR Rebate")</f>
        <v>Estimate 0 NR Rebate</v>
      </c>
      <c r="F6" s="6"/>
    </row>
    <row r="7" spans="1:6" ht="15.75">
      <c r="A7" s="1"/>
      <c r="B7" s="193" t="str">
        <f>inputPrYr!B19</f>
        <v>General</v>
      </c>
      <c r="C7" s="194"/>
      <c r="D7" s="195">
        <f aca="true" t="shared" si="0" ref="D7:D12">IF(C7&gt;0,C7/$D$18,"")</f>
      </c>
      <c r="E7" s="196">
        <f aca="true" t="shared" si="1" ref="E7:E12">IF(C7&gt;0,D7*$D$22,0)</f>
        <v>0</v>
      </c>
      <c r="F7" s="6"/>
    </row>
    <row r="8" spans="1:6" ht="15.75">
      <c r="A8" s="1"/>
      <c r="B8" s="193" t="str">
        <f>inputPrYr!B20</f>
        <v>Debt Service</v>
      </c>
      <c r="C8" s="194"/>
      <c r="D8" s="195">
        <f t="shared" si="0"/>
      </c>
      <c r="E8" s="196">
        <f t="shared" si="1"/>
        <v>0</v>
      </c>
      <c r="F8" s="6"/>
    </row>
    <row r="9" spans="1:6" ht="15.75">
      <c r="A9" s="1"/>
      <c r="B9" s="12" t="str">
        <f>IF(inputPrYr!$B22&gt;"  ",(inputPrYr!$B22),"  ")</f>
        <v>  </v>
      </c>
      <c r="C9" s="194"/>
      <c r="D9" s="195">
        <f t="shared" si="0"/>
      </c>
      <c r="E9" s="196">
        <f t="shared" si="1"/>
        <v>0</v>
      </c>
      <c r="F9" s="6"/>
    </row>
    <row r="10" spans="1:6" ht="15.75">
      <c r="A10" s="1"/>
      <c r="B10" s="12" t="str">
        <f>IF(inputPrYr!$B23&gt;"  ",(inputPrYr!$B23),"  ")</f>
        <v>  </v>
      </c>
      <c r="C10" s="194"/>
      <c r="D10" s="195">
        <f t="shared" si="0"/>
      </c>
      <c r="E10" s="196">
        <f t="shared" si="1"/>
        <v>0</v>
      </c>
      <c r="F10" s="6"/>
    </row>
    <row r="11" spans="1:6" ht="15.75">
      <c r="A11" s="1"/>
      <c r="B11" s="12"/>
      <c r="C11" s="194"/>
      <c r="D11" s="195">
        <f t="shared" si="0"/>
      </c>
      <c r="E11" s="196">
        <f t="shared" si="1"/>
        <v>0</v>
      </c>
      <c r="F11" s="6"/>
    </row>
    <row r="12" spans="1:6" ht="15.75">
      <c r="A12" s="1"/>
      <c r="B12" s="12"/>
      <c r="C12" s="194"/>
      <c r="D12" s="195">
        <f t="shared" si="0"/>
      </c>
      <c r="E12" s="196">
        <f t="shared" si="1"/>
        <v>0</v>
      </c>
      <c r="F12" s="6"/>
    </row>
    <row r="13" spans="1:6" ht="16.5" thickBot="1">
      <c r="A13" s="1"/>
      <c r="B13" s="11" t="s">
        <v>168</v>
      </c>
      <c r="C13" s="197">
        <f>SUM(C7:C12)</f>
        <v>0</v>
      </c>
      <c r="D13" s="198">
        <f>SUM(D7:D12)</f>
        <v>0</v>
      </c>
      <c r="E13" s="197">
        <f>SUM(E7:E12)</f>
        <v>0</v>
      </c>
      <c r="F13" s="6"/>
    </row>
    <row r="14" spans="1:6" ht="16.5" thickTop="1">
      <c r="A14" s="1"/>
      <c r="B14" s="1"/>
      <c r="C14" s="1"/>
      <c r="D14" s="1"/>
      <c r="E14" s="1"/>
      <c r="F14" s="6"/>
    </row>
    <row r="15" spans="1:6" ht="15.75">
      <c r="A15" s="1"/>
      <c r="B15" s="1"/>
      <c r="C15" s="1"/>
      <c r="D15" s="1"/>
      <c r="E15" s="1"/>
      <c r="F15" s="6"/>
    </row>
    <row r="16" spans="1:6" ht="15.75">
      <c r="A16" s="870" t="str">
        <f>CONCATENATE("",F1-1," July 1 Valuation:")</f>
        <v>-1 July 1 Valuation:</v>
      </c>
      <c r="B16" s="868"/>
      <c r="C16" s="870"/>
      <c r="D16" s="199">
        <f>inputOth!E7</f>
        <v>0</v>
      </c>
      <c r="E16" s="1"/>
      <c r="F16" s="6"/>
    </row>
    <row r="17" spans="1:6" ht="15.75">
      <c r="A17" s="1"/>
      <c r="B17" s="1"/>
      <c r="C17" s="1"/>
      <c r="D17" s="1"/>
      <c r="E17" s="1"/>
      <c r="F17" s="6"/>
    </row>
    <row r="18" spans="1:6" ht="15.75">
      <c r="A18" s="1"/>
      <c r="B18" s="870" t="s">
        <v>277</v>
      </c>
      <c r="C18" s="870"/>
      <c r="D18" s="200">
        <f>IF(D16&gt;0,(D16*0.001),"")</f>
      </c>
      <c r="E18" s="1"/>
      <c r="F18" s="6"/>
    </row>
    <row r="19" spans="1:6" ht="15.75">
      <c r="A19" s="1"/>
      <c r="B19" s="4"/>
      <c r="C19" s="4"/>
      <c r="D19" s="201"/>
      <c r="E19" s="1"/>
      <c r="F19" s="6"/>
    </row>
    <row r="20" spans="1:6" ht="15.75">
      <c r="A20" s="867" t="s">
        <v>278</v>
      </c>
      <c r="B20" s="799"/>
      <c r="C20" s="799"/>
      <c r="D20" s="202">
        <f>inputOth!E12</f>
        <v>0</v>
      </c>
      <c r="E20" s="203"/>
      <c r="F20" s="203"/>
    </row>
    <row r="21" spans="1:6" ht="15">
      <c r="A21" s="203"/>
      <c r="B21" s="203"/>
      <c r="C21" s="203"/>
      <c r="D21" s="204"/>
      <c r="E21" s="203"/>
      <c r="F21" s="203"/>
    </row>
    <row r="22" spans="1:6" ht="15.75">
      <c r="A22" s="203"/>
      <c r="B22" s="867" t="s">
        <v>279</v>
      </c>
      <c r="C22" s="868"/>
      <c r="D22" s="205">
        <f>IF(D20&gt;0,(D20*0.001),"")</f>
      </c>
      <c r="E22" s="203"/>
      <c r="F22" s="203"/>
    </row>
    <row r="23" spans="1:6" ht="15">
      <c r="A23" s="203"/>
      <c r="B23" s="203"/>
      <c r="C23" s="203"/>
      <c r="D23" s="203"/>
      <c r="E23" s="203"/>
      <c r="F23" s="203"/>
    </row>
    <row r="24" spans="1:6" ht="15">
      <c r="A24" s="203"/>
      <c r="B24" s="203"/>
      <c r="C24" s="203"/>
      <c r="D24" s="203"/>
      <c r="E24" s="203"/>
      <c r="F24" s="203"/>
    </row>
    <row r="25" spans="1:6" ht="15">
      <c r="A25" s="203"/>
      <c r="B25" s="203"/>
      <c r="C25" s="203"/>
      <c r="D25" s="203"/>
      <c r="E25" s="203"/>
      <c r="F25" s="203"/>
    </row>
    <row r="26" spans="1:6" ht="15.75">
      <c r="A26" s="362" t="str">
        <f>CONCATENATE("**This information comes from the ",F2," Budget Summary page.  See instructions tab #12 for completing")</f>
        <v>**This information comes from the  Budget Summary page.  See instructions tab #12 for completing</v>
      </c>
      <c r="B26" s="203"/>
      <c r="C26" s="203"/>
      <c r="D26" s="203"/>
      <c r="E26" s="203"/>
      <c r="F26" s="203"/>
    </row>
    <row r="27" spans="1:6" ht="15.75">
      <c r="A27" s="362" t="s">
        <v>502</v>
      </c>
      <c r="B27" s="203"/>
      <c r="C27" s="203"/>
      <c r="D27" s="203"/>
      <c r="E27" s="203"/>
      <c r="F27" s="203"/>
    </row>
    <row r="28" spans="1:6" ht="15.75">
      <c r="A28" s="362"/>
      <c r="B28" s="203"/>
      <c r="C28" s="203"/>
      <c r="D28" s="203"/>
      <c r="E28" s="203"/>
      <c r="F28" s="203"/>
    </row>
    <row r="29" spans="1:6" ht="15.75">
      <c r="A29" s="362"/>
      <c r="B29" s="203"/>
      <c r="C29" s="203"/>
      <c r="D29" s="203"/>
      <c r="E29" s="203"/>
      <c r="F29" s="203"/>
    </row>
    <row r="30" spans="1:6" ht="15.75">
      <c r="A30" s="362"/>
      <c r="B30" s="203"/>
      <c r="C30" s="203"/>
      <c r="D30" s="203"/>
      <c r="E30" s="203"/>
      <c r="F30" s="203"/>
    </row>
    <row r="31" spans="1:6" ht="15.75">
      <c r="A31" s="362"/>
      <c r="B31" s="203"/>
      <c r="C31" s="203"/>
      <c r="D31" s="203"/>
      <c r="E31" s="203"/>
      <c r="F31" s="203"/>
    </row>
    <row r="32" spans="1:6" ht="15.75">
      <c r="A32" s="362"/>
      <c r="B32" s="203"/>
      <c r="C32" s="203"/>
      <c r="D32" s="203"/>
      <c r="E32" s="203"/>
      <c r="F32" s="203"/>
    </row>
    <row r="33" spans="1:6" ht="15.75">
      <c r="A33" s="362"/>
      <c r="B33" s="203"/>
      <c r="C33" s="203"/>
      <c r="D33" s="203"/>
      <c r="E33" s="203"/>
      <c r="F33" s="203"/>
    </row>
    <row r="34" spans="1:6" ht="15.75">
      <c r="A34" s="362"/>
      <c r="B34" s="203"/>
      <c r="C34" s="203"/>
      <c r="D34" s="203"/>
      <c r="E34" s="203"/>
      <c r="F34" s="203"/>
    </row>
    <row r="35" spans="1:6" ht="15.75">
      <c r="A35" s="362"/>
      <c r="B35" s="203"/>
      <c r="C35" s="203"/>
      <c r="D35" s="203"/>
      <c r="E35" s="203"/>
      <c r="F35" s="203"/>
    </row>
    <row r="36" spans="1:6" ht="15">
      <c r="A36" s="203"/>
      <c r="B36" s="203"/>
      <c r="C36" s="203"/>
      <c r="D36" s="203"/>
      <c r="E36" s="203"/>
      <c r="F36" s="203"/>
    </row>
    <row r="37" spans="1:6" ht="15.75">
      <c r="A37" s="203"/>
      <c r="B37" s="170" t="s">
        <v>44</v>
      </c>
      <c r="C37" s="672"/>
      <c r="D37" s="203"/>
      <c r="E37" s="203"/>
      <c r="F37" s="20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Q113" sqref="Q113"/>
    </sheetView>
  </sheetViews>
  <sheetFormatPr defaultColWidth="8.796875" defaultRowHeight="15"/>
  <cols>
    <col min="1" max="1" width="15.796875" style="3" customWidth="1"/>
    <col min="2" max="2" width="20.796875" style="3" customWidth="1"/>
    <col min="3" max="3" width="9.796875" style="3" customWidth="1"/>
    <col min="4" max="4" width="15.69921875" style="3" customWidth="1"/>
    <col min="5" max="5" width="14.19921875" style="3" customWidth="1"/>
    <col min="6" max="6" width="1.796875" style="3" customWidth="1"/>
    <col min="7" max="7" width="18.69921875" style="3" customWidth="1"/>
    <col min="8" max="16384" width="8.8984375" style="3" customWidth="1"/>
  </cols>
  <sheetData>
    <row r="1" spans="1:5" ht="15.75">
      <c r="A1" s="757" t="s">
        <v>713</v>
      </c>
      <c r="B1" s="758"/>
      <c r="C1" s="758"/>
      <c r="D1" s="758"/>
      <c r="E1" s="758"/>
    </row>
    <row r="2" spans="1:5" ht="15.75">
      <c r="A2" s="17"/>
      <c r="B2" s="1"/>
      <c r="C2" s="1"/>
      <c r="D2" s="1"/>
      <c r="E2" s="1"/>
    </row>
    <row r="3" spans="1:5" ht="15.75">
      <c r="A3" s="296" t="s">
        <v>705</v>
      </c>
      <c r="B3" s="1"/>
      <c r="C3" s="1"/>
      <c r="D3" s="612"/>
      <c r="E3" s="186"/>
    </row>
    <row r="4" spans="1:5" ht="15.75">
      <c r="A4" s="296" t="s">
        <v>711</v>
      </c>
      <c r="B4" s="1"/>
      <c r="C4" s="1"/>
      <c r="D4" s="612"/>
      <c r="E4" s="186"/>
    </row>
    <row r="5" spans="1:5" ht="15.75">
      <c r="A5" s="17"/>
      <c r="B5" s="1"/>
      <c r="C5" s="1"/>
      <c r="D5" s="229"/>
      <c r="E5" s="186"/>
    </row>
    <row r="6" spans="1:5" ht="15.75">
      <c r="A6" s="296" t="s">
        <v>709</v>
      </c>
      <c r="B6" s="1"/>
      <c r="C6" s="1"/>
      <c r="D6" s="297"/>
      <c r="E6" s="186"/>
    </row>
    <row r="7" spans="1:5" ht="15.75">
      <c r="A7" s="1"/>
      <c r="B7" s="1"/>
      <c r="C7" s="1"/>
      <c r="D7" s="1"/>
      <c r="E7" s="1"/>
    </row>
    <row r="8" spans="1:5" ht="15.75">
      <c r="A8" s="761" t="s">
        <v>706</v>
      </c>
      <c r="B8" s="761"/>
      <c r="C8" s="761"/>
      <c r="D8" s="761"/>
      <c r="E8" s="761"/>
    </row>
    <row r="9" spans="1:5" ht="15.75">
      <c r="A9" s="761"/>
      <c r="B9" s="761"/>
      <c r="C9" s="761"/>
      <c r="D9" s="761"/>
      <c r="E9" s="761"/>
    </row>
    <row r="10" spans="1:8" ht="15.75" customHeight="1">
      <c r="A10" s="761"/>
      <c r="B10" s="761"/>
      <c r="C10" s="761"/>
      <c r="D10" s="761"/>
      <c r="E10" s="761"/>
      <c r="F10" s="1"/>
      <c r="G10" s="762" t="s">
        <v>708</v>
      </c>
      <c r="H10" s="763"/>
    </row>
    <row r="11" spans="1:8" ht="15.75">
      <c r="A11" s="94"/>
      <c r="B11" s="1"/>
      <c r="C11" s="1"/>
      <c r="D11" s="1"/>
      <c r="E11" s="1"/>
      <c r="F11" s="1"/>
      <c r="G11" s="764"/>
      <c r="H11" s="765"/>
    </row>
    <row r="12" spans="1:8" ht="15.75">
      <c r="A12" s="755" t="s">
        <v>707</v>
      </c>
      <c r="B12" s="756"/>
      <c r="C12" s="756"/>
      <c r="D12" s="756"/>
      <c r="E12" s="756"/>
      <c r="F12" s="1"/>
      <c r="G12" s="764"/>
      <c r="H12" s="765"/>
    </row>
    <row r="13" spans="1:8" ht="15.75">
      <c r="A13" s="94"/>
      <c r="B13" s="1"/>
      <c r="C13" s="1"/>
      <c r="D13" s="1"/>
      <c r="E13" s="1"/>
      <c r="F13" s="1"/>
      <c r="G13" s="764"/>
      <c r="H13" s="765"/>
    </row>
    <row r="14" spans="1:8" ht="15.75">
      <c r="A14" s="683" t="s">
        <v>133</v>
      </c>
      <c r="B14" s="682"/>
      <c r="C14" s="1"/>
      <c r="D14" s="1"/>
      <c r="E14" s="1"/>
      <c r="F14" s="1"/>
      <c r="G14" s="764"/>
      <c r="H14" s="765"/>
    </row>
    <row r="15" spans="1:8" ht="15.75">
      <c r="A15" s="681" t="str">
        <f>CONCATENATE("the ",D6-1," Budget, Certificate Page:")</f>
        <v>the -1 Budget, Certificate Page:</v>
      </c>
      <c r="B15" s="680"/>
      <c r="C15" s="1"/>
      <c r="D15" s="1"/>
      <c r="E15" s="1"/>
      <c r="F15" s="1"/>
      <c r="G15" s="764"/>
      <c r="H15" s="765"/>
    </row>
    <row r="16" spans="1:8" ht="15.75">
      <c r="A16" s="679" t="s">
        <v>227</v>
      </c>
      <c r="B16" s="678"/>
      <c r="C16" s="1"/>
      <c r="D16" s="1"/>
      <c r="E16" s="1"/>
      <c r="F16" s="1"/>
      <c r="G16" s="766"/>
      <c r="H16" s="767"/>
    </row>
    <row r="17" spans="1:8" ht="15.75">
      <c r="A17" s="1"/>
      <c r="B17" s="1"/>
      <c r="C17" s="34"/>
      <c r="D17" s="298">
        <f>D6-1</f>
        <v>-1</v>
      </c>
      <c r="E17" s="759" t="str">
        <f>CONCATENATE("Amount of ",D6-2,"     Ad Valorem Tax")</f>
        <v>Amount of -2     Ad Valorem Tax</v>
      </c>
      <c r="F17" s="636"/>
      <c r="G17" s="47" t="s">
        <v>654</v>
      </c>
      <c r="H17" s="10" t="s">
        <v>43</v>
      </c>
    </row>
    <row r="18" spans="1:8" ht="15.75">
      <c r="A18" s="17" t="s">
        <v>6</v>
      </c>
      <c r="B18" s="1"/>
      <c r="C18" s="34" t="s">
        <v>7</v>
      </c>
      <c r="D18" s="299" t="s">
        <v>228</v>
      </c>
      <c r="E18" s="760"/>
      <c r="F18" s="636"/>
      <c r="G18" s="9" t="str">
        <f>CONCATENATE("",D6-2," Ad Valorem Tax")</f>
        <v>-2 Ad Valorem Tax</v>
      </c>
      <c r="H18" s="601">
        <v>0</v>
      </c>
    </row>
    <row r="19" spans="1:7" ht="15.75">
      <c r="A19" s="1"/>
      <c r="B19" s="14" t="s">
        <v>8</v>
      </c>
      <c r="C19" s="536"/>
      <c r="D19" s="61"/>
      <c r="E19" s="61"/>
      <c r="F19" s="636"/>
      <c r="G19" s="72">
        <f>IF(H18&gt;0,ROUND(E19-(E19*H18),0),0)</f>
        <v>0</v>
      </c>
    </row>
    <row r="20" spans="1:7" ht="15.75">
      <c r="A20" s="1"/>
      <c r="B20" s="14" t="s">
        <v>226</v>
      </c>
      <c r="C20" s="10" t="s">
        <v>135</v>
      </c>
      <c r="D20" s="61"/>
      <c r="E20" s="61"/>
      <c r="F20" s="636"/>
      <c r="G20" s="72">
        <f>IF(H18&gt;0,ROUND(E20-(E20*H18),0),0)</f>
        <v>0</v>
      </c>
    </row>
    <row r="21" spans="1:7" ht="15.75">
      <c r="A21" s="17" t="s">
        <v>9</v>
      </c>
      <c r="B21" s="1"/>
      <c r="C21" s="1"/>
      <c r="D21" s="136"/>
      <c r="E21" s="300"/>
      <c r="F21" s="636"/>
      <c r="G21" s="636"/>
    </row>
    <row r="22" spans="1:7" ht="15.75">
      <c r="A22" s="1"/>
      <c r="B22" s="59"/>
      <c r="C22" s="536"/>
      <c r="D22" s="61"/>
      <c r="E22" s="61"/>
      <c r="F22" s="636"/>
      <c r="G22" s="72">
        <f>IF(H18&gt;0,ROUND(E22-(E22*H18),0),0)</f>
        <v>0</v>
      </c>
    </row>
    <row r="23" spans="1:7" ht="15.75">
      <c r="A23" s="1"/>
      <c r="B23" s="59"/>
      <c r="C23" s="536"/>
      <c r="D23" s="61"/>
      <c r="E23" s="61"/>
      <c r="F23" s="636"/>
      <c r="G23" s="72">
        <f>IF(H18&gt;0,ROUND(E23-(E23*H18),0),0)</f>
        <v>0</v>
      </c>
    </row>
    <row r="24" spans="1:5" ht="15.75">
      <c r="A24" s="180" t="str">
        <f>CONCATENATE("Total Ad Valorem Tax for ",D6-1," Budgeted Year")</f>
        <v>Total Ad Valorem Tax for -1 Budgeted Year</v>
      </c>
      <c r="B24" s="206"/>
      <c r="C24" s="206"/>
      <c r="D24" s="236"/>
      <c r="E24" s="133">
        <f>SUM(E19:E20,E22:E23)</f>
        <v>0</v>
      </c>
    </row>
    <row r="25" spans="1:5" ht="15.75">
      <c r="A25" s="117" t="s">
        <v>10</v>
      </c>
      <c r="B25" s="1"/>
      <c r="C25" s="1"/>
      <c r="D25" s="1"/>
      <c r="E25" s="1"/>
    </row>
    <row r="26" spans="1:5" ht="15.75">
      <c r="A26" s="1"/>
      <c r="B26" s="59"/>
      <c r="C26" s="1"/>
      <c r="D26" s="61"/>
      <c r="E26" s="1"/>
    </row>
    <row r="27" spans="1:5" ht="15.75">
      <c r="A27" s="1"/>
      <c r="B27" s="59"/>
      <c r="C27" s="1"/>
      <c r="D27" s="61"/>
      <c r="E27" s="1"/>
    </row>
    <row r="28" spans="1:5" ht="15.75">
      <c r="A28" s="206" t="str">
        <f>CONCATENATE("Total Expenditures for ",D6-1," Budgeted Year")</f>
        <v>Total Expenditures for -1 Budgeted Year</v>
      </c>
      <c r="B28" s="206"/>
      <c r="C28" s="218"/>
      <c r="D28" s="72">
        <f>SUM(D19:D20,D22:D23,D26:D27)</f>
        <v>0</v>
      </c>
      <c r="E28" s="136"/>
    </row>
    <row r="29" spans="1:5" ht="15.75">
      <c r="A29" s="1" t="s">
        <v>200</v>
      </c>
      <c r="B29" s="1"/>
      <c r="C29" s="1"/>
      <c r="D29" s="1"/>
      <c r="E29" s="136"/>
    </row>
    <row r="30" spans="1:5" ht="15.75">
      <c r="A30" s="1">
        <v>1</v>
      </c>
      <c r="B30" s="31"/>
      <c r="C30" s="1"/>
      <c r="D30" s="1"/>
      <c r="E30" s="136"/>
    </row>
    <row r="31" spans="1:5" ht="15.75">
      <c r="A31" s="1">
        <v>2</v>
      </c>
      <c r="B31" s="31"/>
      <c r="C31" s="1"/>
      <c r="D31" s="1"/>
      <c r="E31" s="136"/>
    </row>
    <row r="32" spans="1:5" ht="15.75">
      <c r="A32" s="1">
        <v>3</v>
      </c>
      <c r="B32" s="31"/>
      <c r="C32" s="1"/>
      <c r="D32" s="1"/>
      <c r="E32" s="136"/>
    </row>
    <row r="33" spans="1:5" ht="15.75">
      <c r="A33" s="1">
        <v>4</v>
      </c>
      <c r="B33" s="31"/>
      <c r="C33" s="1"/>
      <c r="D33" s="1"/>
      <c r="E33" s="136"/>
    </row>
    <row r="34" spans="1:5" ht="15.75">
      <c r="A34" s="1">
        <v>5</v>
      </c>
      <c r="B34" s="31"/>
      <c r="C34" s="1"/>
      <c r="D34" s="1"/>
      <c r="E34" s="136"/>
    </row>
    <row r="35" spans="1:5" ht="15.75">
      <c r="A35" s="1"/>
      <c r="B35" s="1"/>
      <c r="C35" s="1"/>
      <c r="D35" s="1"/>
      <c r="E35" s="136"/>
    </row>
    <row r="36" spans="1:5" ht="15.75">
      <c r="A36" s="683" t="s">
        <v>133</v>
      </c>
      <c r="B36" s="682"/>
      <c r="C36" s="1"/>
      <c r="D36" s="753" t="str">
        <f>CONCATENATE("",D6-3," Tax Rate          (",D6-2," Column)")</f>
        <v>-3 Tax Rate          (-2 Column)</v>
      </c>
      <c r="E36" s="136"/>
    </row>
    <row r="37" spans="1:5" ht="15.75">
      <c r="A37" s="679" t="str">
        <f>CONCATENATE("the ",D6-1," Budget, Budget Summary Page:")</f>
        <v>the -1 Budget, Budget Summary Page:</v>
      </c>
      <c r="B37" s="678"/>
      <c r="C37" s="1"/>
      <c r="D37" s="754"/>
      <c r="E37" s="136"/>
    </row>
    <row r="38" spans="1:5" ht="15.75">
      <c r="A38" s="1"/>
      <c r="B38" s="677" t="str">
        <f>B19</f>
        <v>General</v>
      </c>
      <c r="C38" s="1"/>
      <c r="D38" s="301"/>
      <c r="E38" s="136"/>
    </row>
    <row r="39" spans="1:5" ht="15.75">
      <c r="A39" s="1"/>
      <c r="B39" s="11" t="str">
        <f>B20</f>
        <v>Debt Service</v>
      </c>
      <c r="C39" s="1"/>
      <c r="D39" s="301"/>
      <c r="E39" s="136"/>
    </row>
    <row r="40" spans="1:5" ht="15.75">
      <c r="A40" s="1"/>
      <c r="B40" s="11">
        <f>B22</f>
        <v>0</v>
      </c>
      <c r="C40" s="1"/>
      <c r="D40" s="301"/>
      <c r="E40" s="136"/>
    </row>
    <row r="41" spans="1:5" ht="15.75">
      <c r="A41" s="1"/>
      <c r="B41" s="11">
        <f>B23</f>
        <v>0</v>
      </c>
      <c r="C41" s="1"/>
      <c r="D41" s="301"/>
      <c r="E41" s="136"/>
    </row>
    <row r="42" spans="1:5" ht="16.5" thickBot="1">
      <c r="A42" s="17" t="s">
        <v>11</v>
      </c>
      <c r="B42" s="1"/>
      <c r="C42" s="1"/>
      <c r="D42" s="302">
        <f>SUM(D38:D41)</f>
        <v>0</v>
      </c>
      <c r="E42" s="136"/>
    </row>
    <row r="43" spans="1:5" ht="16.5" thickTop="1">
      <c r="A43" s="1"/>
      <c r="B43" s="1"/>
      <c r="C43" s="1"/>
      <c r="D43" s="1"/>
      <c r="E43" s="136"/>
    </row>
    <row r="44" spans="1:5" ht="15.75">
      <c r="A44" s="660" t="str">
        <f>CONCATENATE("Total Tax Levied (",D6-2," budget column)")</f>
        <v>Total Tax Levied (-2 budget column)</v>
      </c>
      <c r="B44" s="682"/>
      <c r="C44" s="1"/>
      <c r="D44" s="1"/>
      <c r="E44" s="61"/>
    </row>
    <row r="45" spans="1:5" ht="15.75">
      <c r="A45" s="661" t="str">
        <f>CONCATENATE("Assessed Valuation (",D6-2," budget column)")</f>
        <v>Assessed Valuation (-2 budget column)</v>
      </c>
      <c r="B45" s="662"/>
      <c r="C45" s="1"/>
      <c r="D45" s="1"/>
      <c r="E45" s="61"/>
    </row>
    <row r="46" spans="1:5" ht="15.75">
      <c r="A46" s="1"/>
      <c r="B46" s="1"/>
      <c r="C46" s="1"/>
      <c r="D46" s="1"/>
      <c r="E46" s="136"/>
    </row>
    <row r="47" spans="1:5" ht="15.75">
      <c r="A47" s="663" t="s">
        <v>166</v>
      </c>
      <c r="B47" s="682"/>
      <c r="C47" s="6"/>
      <c r="D47" s="303">
        <f>D6-3</f>
        <v>-3</v>
      </c>
      <c r="E47" s="303">
        <f>D6-2</f>
        <v>-2</v>
      </c>
    </row>
    <row r="48" spans="1:5" ht="15.75">
      <c r="A48" s="664" t="s">
        <v>129</v>
      </c>
      <c r="B48" s="662"/>
      <c r="C48" s="304"/>
      <c r="D48" s="57"/>
      <c r="E48" s="57"/>
    </row>
    <row r="49" spans="1:5" ht="15.75">
      <c r="A49" s="665" t="s">
        <v>130</v>
      </c>
      <c r="B49" s="666"/>
      <c r="C49" s="306"/>
      <c r="D49" s="57"/>
      <c r="E49" s="57"/>
    </row>
    <row r="50" spans="1:5" ht="15.75">
      <c r="A50" s="665" t="s">
        <v>132</v>
      </c>
      <c r="B50" s="666"/>
      <c r="C50" s="306"/>
      <c r="D50" s="57"/>
      <c r="E50" s="57"/>
    </row>
    <row r="51" spans="1:5" ht="15.75">
      <c r="A51" s="665" t="s">
        <v>131</v>
      </c>
      <c r="B51" s="666"/>
      <c r="C51" s="306"/>
      <c r="D51" s="57"/>
      <c r="E51" s="57"/>
    </row>
    <row r="52" spans="1:5" ht="15.75">
      <c r="A52" s="665"/>
      <c r="B52" s="666"/>
      <c r="C52" s="307"/>
      <c r="D52" s="57"/>
      <c r="E52" s="57"/>
    </row>
  </sheetData>
  <sheetProtection sheet="1"/>
  <mergeCells count="6">
    <mergeCell ref="D36:D37"/>
    <mergeCell ref="A12:E12"/>
    <mergeCell ref="A1:E1"/>
    <mergeCell ref="E17:E18"/>
    <mergeCell ref="A8:E10"/>
    <mergeCell ref="G10:H16"/>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81" sqref="U81"/>
    </sheetView>
  </sheetViews>
  <sheetFormatPr defaultColWidth="8.796875" defaultRowHeight="15"/>
  <sheetData>
    <row r="2" spans="2:8" ht="15.75">
      <c r="B2" s="642"/>
      <c r="C2" s="642"/>
      <c r="D2" s="642"/>
      <c r="E2" s="642"/>
      <c r="F2" s="642"/>
      <c r="G2" s="642"/>
      <c r="H2" s="646">
        <f>inputPrYr!D6</f>
        <v>0</v>
      </c>
    </row>
    <row r="3" spans="2:8" ht="15.75" thickBot="1">
      <c r="B3" s="642"/>
      <c r="C3" s="642"/>
      <c r="D3" s="642"/>
      <c r="E3" s="642"/>
      <c r="F3" s="642"/>
      <c r="G3" s="642"/>
      <c r="H3" s="642"/>
    </row>
    <row r="4" spans="2:8" ht="19.5" thickBot="1">
      <c r="B4" s="874" t="s">
        <v>697</v>
      </c>
      <c r="C4" s="875"/>
      <c r="D4" s="875"/>
      <c r="E4" s="875"/>
      <c r="F4" s="875"/>
      <c r="G4" s="875"/>
      <c r="H4" s="876"/>
    </row>
    <row r="5" spans="2:8" ht="16.5" thickBot="1">
      <c r="B5" s="643"/>
      <c r="C5" s="643"/>
      <c r="D5" s="644"/>
      <c r="E5" s="645"/>
      <c r="F5" s="643"/>
      <c r="G5" s="643"/>
      <c r="H5" s="643"/>
    </row>
    <row r="6" spans="2:8" ht="15.75">
      <c r="B6" s="877" t="str">
        <f>CONCATENATE("Notice of Vote - ",inputPrYr!D3)</f>
        <v>Notice of Vote - </v>
      </c>
      <c r="C6" s="878"/>
      <c r="D6" s="878"/>
      <c r="E6" s="878"/>
      <c r="F6" s="878"/>
      <c r="G6" s="878"/>
      <c r="H6" s="879"/>
    </row>
    <row r="7" spans="2:8" ht="60.75" customHeight="1" thickBot="1">
      <c r="B7" s="871"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72"/>
      <c r="D7" s="872"/>
      <c r="E7" s="872"/>
      <c r="F7" s="872"/>
      <c r="G7" s="872"/>
      <c r="H7" s="873"/>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87" sqref="U87"/>
    </sheetView>
  </sheetViews>
  <sheetFormatPr defaultColWidth="8.796875" defaultRowHeight="15"/>
  <cols>
    <col min="4" max="4" width="12.19921875" style="0" customWidth="1"/>
    <col min="6" max="6" width="3.296875" style="0" customWidth="1"/>
  </cols>
  <sheetData>
    <row r="2" spans="2:7" ht="15.75">
      <c r="B2" s="642"/>
      <c r="C2" s="642"/>
      <c r="D2" s="642"/>
      <c r="E2" s="642"/>
      <c r="F2" s="642"/>
      <c r="G2" s="646">
        <f>inputPrYr!D6</f>
        <v>0</v>
      </c>
    </row>
    <row r="3" spans="2:7" ht="15.75" thickBot="1">
      <c r="B3" s="642"/>
      <c r="C3" s="642"/>
      <c r="D3" s="642"/>
      <c r="E3" s="642"/>
      <c r="F3" s="642"/>
      <c r="G3" s="642"/>
    </row>
    <row r="4" spans="2:7" ht="19.5" thickBot="1">
      <c r="B4" s="880" t="s">
        <v>698</v>
      </c>
      <c r="C4" s="881"/>
      <c r="D4" s="881"/>
      <c r="E4" s="881"/>
      <c r="F4" s="881"/>
      <c r="G4" s="882"/>
    </row>
    <row r="5" spans="2:7" ht="16.5" thickBot="1">
      <c r="B5" s="647"/>
      <c r="C5" s="647"/>
      <c r="D5" s="647"/>
      <c r="E5" s="647"/>
      <c r="F5" s="647"/>
      <c r="G5" s="647"/>
    </row>
    <row r="6" spans="2:7" ht="15.75">
      <c r="B6" s="877" t="str">
        <f>CONCATENATE("Notice of Vote - ",inputPrYr!D3)</f>
        <v>Notice of Vote - </v>
      </c>
      <c r="C6" s="878"/>
      <c r="D6" s="878"/>
      <c r="E6" s="878"/>
      <c r="F6" s="878"/>
      <c r="G6" s="879"/>
    </row>
    <row r="7" spans="2:7" ht="15.75">
      <c r="B7" s="883" t="s">
        <v>699</v>
      </c>
      <c r="C7" s="884"/>
      <c r="D7" s="884"/>
      <c r="E7" s="884"/>
      <c r="F7" s="884"/>
      <c r="G7" s="885"/>
    </row>
    <row r="8" spans="2:7" ht="15.75">
      <c r="B8" s="883" t="s">
        <v>700</v>
      </c>
      <c r="C8" s="884"/>
      <c r="D8" s="884"/>
      <c r="E8" s="884"/>
      <c r="F8" s="884"/>
      <c r="G8" s="885"/>
    </row>
    <row r="9" spans="2:7" ht="15.75">
      <c r="B9" s="650" t="str">
        <f>CONCATENATE(G2-1," Budget")</f>
        <v>-1 Budget</v>
      </c>
      <c r="C9" s="654" t="s">
        <v>89</v>
      </c>
      <c r="D9" s="656">
        <f>inputPrYr!E24</f>
        <v>0</v>
      </c>
      <c r="E9" s="648"/>
      <c r="F9" s="648"/>
      <c r="G9" s="649"/>
    </row>
    <row r="10" spans="2:7" ht="15.75">
      <c r="B10" s="650" t="str">
        <f>CONCATENATE(G2," Budget")</f>
        <v>0 Budget</v>
      </c>
      <c r="C10" s="654" t="s">
        <v>89</v>
      </c>
      <c r="D10" s="657">
        <f>cert!F30</f>
        <v>0</v>
      </c>
      <c r="E10" s="648"/>
      <c r="F10" s="648"/>
      <c r="G10" s="649"/>
    </row>
    <row r="11" spans="2:7" ht="15.75">
      <c r="B11" s="650"/>
      <c r="C11" s="648"/>
      <c r="D11" s="648" t="s">
        <v>701</v>
      </c>
      <c r="E11" s="658"/>
      <c r="F11" s="653" t="s">
        <v>702</v>
      </c>
      <c r="G11" s="659"/>
    </row>
    <row r="12" spans="2:7" ht="16.5" thickBot="1">
      <c r="B12" s="651"/>
      <c r="C12" s="652"/>
      <c r="D12" s="652"/>
      <c r="E12" s="652"/>
      <c r="F12" s="652"/>
      <c r="G12" s="655"/>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5" sqref="U65"/>
    </sheetView>
  </sheetViews>
  <sheetFormatPr defaultColWidth="8.796875" defaultRowHeight="15"/>
  <cols>
    <col min="4" max="4" width="12.19921875" style="0" customWidth="1"/>
    <col min="6" max="6" width="6.796875" style="0" customWidth="1"/>
  </cols>
  <sheetData>
    <row r="2" spans="2:7" ht="15.75">
      <c r="B2" s="642"/>
      <c r="C2" s="642"/>
      <c r="D2" s="642"/>
      <c r="E2" s="642"/>
      <c r="F2" s="642"/>
      <c r="G2" s="646">
        <f>inputPrYr!D6</f>
        <v>0</v>
      </c>
    </row>
    <row r="3" spans="2:7" ht="15.75" thickBot="1">
      <c r="B3" s="642"/>
      <c r="C3" s="642"/>
      <c r="D3" s="642"/>
      <c r="E3" s="642"/>
      <c r="F3" s="642"/>
      <c r="G3" s="642"/>
    </row>
    <row r="4" spans="2:7" ht="19.5" thickBot="1">
      <c r="B4" s="880" t="s">
        <v>698</v>
      </c>
      <c r="C4" s="881"/>
      <c r="D4" s="881"/>
      <c r="E4" s="881"/>
      <c r="F4" s="881"/>
      <c r="G4" s="882"/>
    </row>
    <row r="5" spans="2:7" ht="16.5" thickBot="1">
      <c r="B5" s="724"/>
      <c r="C5" s="724"/>
      <c r="D5" s="724"/>
      <c r="E5" s="724"/>
      <c r="F5" s="724"/>
      <c r="G5" s="724"/>
    </row>
    <row r="6" spans="2:7" ht="15.75">
      <c r="B6" s="877" t="str">
        <f>CONCATENATE("Notice of Vote - ",inputPrYr!D3)</f>
        <v>Notice of Vote - </v>
      </c>
      <c r="C6" s="878"/>
      <c r="D6" s="878"/>
      <c r="E6" s="878"/>
      <c r="F6" s="878"/>
      <c r="G6" s="879"/>
    </row>
    <row r="7" spans="2:7" ht="15.75">
      <c r="B7" s="883" t="s">
        <v>699</v>
      </c>
      <c r="C7" s="884"/>
      <c r="D7" s="884"/>
      <c r="E7" s="884"/>
      <c r="F7" s="884"/>
      <c r="G7" s="885"/>
    </row>
    <row r="8" spans="2:7" ht="15.75">
      <c r="B8" s="736"/>
      <c r="C8" s="729"/>
      <c r="D8" s="744" t="s">
        <v>700</v>
      </c>
      <c r="E8" s="729"/>
      <c r="F8" s="747" t="s">
        <v>735</v>
      </c>
      <c r="G8" s="737"/>
    </row>
    <row r="9" spans="2:7" ht="15.75">
      <c r="B9" s="727" t="str">
        <f>CONCATENATE(G2-1," Budget")</f>
        <v>-1 Budget</v>
      </c>
      <c r="C9" s="730" t="s">
        <v>89</v>
      </c>
      <c r="D9" s="732">
        <f>summ!D26</f>
        <v>0</v>
      </c>
      <c r="E9" s="725"/>
      <c r="F9" s="746">
        <f>summ!E23</f>
        <v>0</v>
      </c>
      <c r="G9" s="726"/>
    </row>
    <row r="10" spans="2:7" ht="15.75">
      <c r="B10" s="727" t="str">
        <f>CONCATENATE(G2," Budget")</f>
        <v>0 Budget</v>
      </c>
      <c r="C10" s="730" t="s">
        <v>89</v>
      </c>
      <c r="D10" s="733">
        <f>summ!G23</f>
        <v>0</v>
      </c>
      <c r="E10" s="725"/>
      <c r="F10" s="746">
        <f>summ!H23</f>
        <v>0</v>
      </c>
      <c r="G10" s="726"/>
    </row>
    <row r="11" spans="2:7" ht="15.75">
      <c r="B11" s="727"/>
      <c r="C11" s="730"/>
      <c r="D11" s="740"/>
      <c r="E11" s="725"/>
      <c r="F11" s="725"/>
      <c r="G11" s="726"/>
    </row>
    <row r="12" spans="2:7" ht="15.75">
      <c r="B12" s="727"/>
      <c r="C12" s="725"/>
      <c r="D12" s="725" t="s">
        <v>701</v>
      </c>
      <c r="E12" s="734"/>
      <c r="F12" s="729" t="s">
        <v>702</v>
      </c>
      <c r="G12" s="735"/>
    </row>
    <row r="13" spans="2:7" ht="15.75">
      <c r="B13" s="727"/>
      <c r="C13" s="725"/>
      <c r="D13" s="725"/>
      <c r="E13" s="738"/>
      <c r="F13" s="729"/>
      <c r="G13" s="739"/>
    </row>
    <row r="14" spans="2:7" ht="16.5" thickBot="1">
      <c r="B14" s="745" t="str">
        <f>CONCATENATE("* ",G2-1," mill levy is actual.  ",G2," mill levy is estimated.")</f>
        <v>* -1 mill levy is actual.  0 mill levy is estimated.</v>
      </c>
      <c r="C14" s="728"/>
      <c r="D14" s="728"/>
      <c r="E14" s="728"/>
      <c r="F14" s="728"/>
      <c r="G14" s="731"/>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50" sqref="J50"/>
    </sheetView>
  </sheetViews>
  <sheetFormatPr defaultColWidth="8.796875" defaultRowHeight="15"/>
  <cols>
    <col min="2" max="2" width="100.796875" style="743" customWidth="1"/>
  </cols>
  <sheetData>
    <row r="1" ht="15">
      <c r="C1" s="742">
        <f>inputPrYr!D3</f>
        <v>0</v>
      </c>
    </row>
    <row r="2" ht="15">
      <c r="C2" s="742">
        <f>inputPrYr!D4</f>
        <v>0</v>
      </c>
    </row>
    <row r="3" ht="15">
      <c r="C3" s="742">
        <f>inputPrYr!D6</f>
        <v>0</v>
      </c>
    </row>
    <row r="5" ht="49.5" customHeight="1">
      <c r="B5" s="749" t="s">
        <v>736</v>
      </c>
    </row>
    <row r="6" ht="49.5" customHeight="1">
      <c r="B6" s="748"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50"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50" t="s">
        <v>737</v>
      </c>
    </row>
    <row r="9" ht="49.5" customHeight="1">
      <c r="B9" s="750" t="str">
        <f>CONCATENATE("Whereas, ",C1," provides essential services to its citizens; and")</f>
        <v>Whereas, 0 provides essential services to its citizens; and</v>
      </c>
    </row>
    <row r="10" ht="49.5" customHeight="1">
      <c r="B10" s="750" t="s">
        <v>738</v>
      </c>
    </row>
    <row r="11" ht="49.5" customHeight="1">
      <c r="B11" s="750"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50" t="str">
        <f>CONCATENATE("Adopted this _____day of____________, ",C3-1," by the ",C1," governing body, ",C2,", Kansas.")</f>
        <v>Adopted this _____day of____________, -1 by the 0 governing body, 0, Kansas.</v>
      </c>
    </row>
    <row r="13" ht="49.5" customHeight="1">
      <c r="B13" s="751" t="str">
        <f>CONCATENATE(C1," Governing Body")</f>
        <v>0 Governing Body</v>
      </c>
    </row>
    <row r="14" ht="49.5" customHeight="1">
      <c r="B14" s="752" t="s">
        <v>739</v>
      </c>
    </row>
    <row r="15" ht="49.5" customHeight="1">
      <c r="B15" s="752" t="s">
        <v>739</v>
      </c>
    </row>
    <row r="16" ht="49.5" customHeight="1">
      <c r="B16" s="752" t="s">
        <v>739</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N106" sqref="N106"/>
    </sheetView>
  </sheetViews>
  <sheetFormatPr defaultColWidth="8.796875" defaultRowHeight="15"/>
  <cols>
    <col min="1" max="1" width="71.296875" style="0" customWidth="1"/>
  </cols>
  <sheetData>
    <row r="3" spans="1:12" ht="15">
      <c r="A3" s="347" t="s">
        <v>306</v>
      </c>
      <c r="B3" s="347"/>
      <c r="C3" s="347"/>
      <c r="D3" s="347"/>
      <c r="E3" s="347"/>
      <c r="F3" s="347"/>
      <c r="G3" s="347"/>
      <c r="H3" s="347"/>
      <c r="I3" s="347"/>
      <c r="J3" s="347"/>
      <c r="K3" s="347"/>
      <c r="L3" s="347"/>
    </row>
    <row r="5" ht="15">
      <c r="A5" s="348" t="s">
        <v>307</v>
      </c>
    </row>
    <row r="6" ht="15">
      <c r="A6" s="348" t="str">
        <f>CONCATENATE(inputPrYr!D6-2," 'total expenditures' exceed your ",inputPrYr!D6-2," 'budget authority.'")</f>
        <v>-2 'total expenditures' exceed your -2 'budget authority.'</v>
      </c>
    </row>
    <row r="7" ht="15">
      <c r="A7" s="348"/>
    </row>
    <row r="8" ht="15">
      <c r="A8" s="348" t="s">
        <v>308</v>
      </c>
    </row>
    <row r="9" ht="15">
      <c r="A9" s="348" t="s">
        <v>309</v>
      </c>
    </row>
    <row r="10" ht="15">
      <c r="A10" s="348" t="s">
        <v>310</v>
      </c>
    </row>
    <row r="11" ht="15">
      <c r="A11" s="348"/>
    </row>
    <row r="12" ht="15">
      <c r="A12" s="348"/>
    </row>
    <row r="13" ht="15">
      <c r="A13" s="349" t="s">
        <v>311</v>
      </c>
    </row>
    <row r="15" ht="15">
      <c r="A15" s="348" t="s">
        <v>312</v>
      </c>
    </row>
    <row r="16" ht="15">
      <c r="A16" s="348" t="str">
        <f>CONCATENATE("(i.e. an audit has not been completed, or the ",inputPrYr!D6," adopted")</f>
        <v>(i.e. an audit has not been completed, or the  adopted</v>
      </c>
    </row>
    <row r="17" ht="15">
      <c r="A17" s="348" t="s">
        <v>313</v>
      </c>
    </row>
    <row r="18" ht="15">
      <c r="A18" s="348" t="s">
        <v>314</v>
      </c>
    </row>
    <row r="19" ht="15">
      <c r="A19" s="348" t="s">
        <v>315</v>
      </c>
    </row>
    <row r="21" ht="15">
      <c r="A21" s="349" t="s">
        <v>316</v>
      </c>
    </row>
    <row r="22" ht="15">
      <c r="A22" s="349"/>
    </row>
    <row r="23" ht="15">
      <c r="A23" s="348" t="s">
        <v>317</v>
      </c>
    </row>
    <row r="24" ht="15">
      <c r="A24" s="348" t="s">
        <v>318</v>
      </c>
    </row>
    <row r="25" ht="15">
      <c r="A25" s="348" t="str">
        <f>CONCATENATE("particular fund.  If your ",inputPrYr!D6-2," budget was amended, did you")</f>
        <v>particular fund.  If your -2 budget was amended, did you</v>
      </c>
    </row>
    <row r="26" ht="15">
      <c r="A26" s="348" t="s">
        <v>319</v>
      </c>
    </row>
    <row r="27" ht="15">
      <c r="A27" s="348"/>
    </row>
    <row r="28" ht="15">
      <c r="A28" s="348" t="str">
        <f>CONCATENATE("Next, look to see if any of your ",inputPrYr!D6-2," expenditures can be")</f>
        <v>Next, look to see if any of your -2 expenditures can be</v>
      </c>
    </row>
    <row r="29" ht="15">
      <c r="A29" s="348" t="s">
        <v>320</v>
      </c>
    </row>
    <row r="30" ht="15">
      <c r="A30" s="348" t="s">
        <v>321</v>
      </c>
    </row>
    <row r="31" ht="15">
      <c r="A31" s="348" t="s">
        <v>322</v>
      </c>
    </row>
    <row r="32" ht="15">
      <c r="A32" s="348"/>
    </row>
    <row r="33" ht="15">
      <c r="A33" s="348" t="str">
        <f>CONCATENATE("Additionally, do your ",inputPrYr!D6-2," receipts contain a reimbursement")</f>
        <v>Additionally, do your -2 receipts contain a reimbursement</v>
      </c>
    </row>
    <row r="34" ht="15">
      <c r="A34" s="348" t="s">
        <v>323</v>
      </c>
    </row>
    <row r="35" ht="15">
      <c r="A35" s="348" t="s">
        <v>324</v>
      </c>
    </row>
    <row r="36" ht="15">
      <c r="A36" s="348"/>
    </row>
    <row r="37" ht="15">
      <c r="A37" s="348" t="s">
        <v>325</v>
      </c>
    </row>
    <row r="38" ht="15">
      <c r="A38" s="348" t="s">
        <v>326</v>
      </c>
    </row>
    <row r="39" ht="15">
      <c r="A39" s="348" t="s">
        <v>327</v>
      </c>
    </row>
    <row r="40" ht="15">
      <c r="A40" s="348"/>
    </row>
    <row r="41" ht="15">
      <c r="A41" s="349" t="s">
        <v>328</v>
      </c>
    </row>
    <row r="42" ht="15">
      <c r="A42" s="348"/>
    </row>
    <row r="43" ht="15">
      <c r="A43" s="348" t="s">
        <v>329</v>
      </c>
    </row>
    <row r="44" ht="15">
      <c r="A44" s="348" t="s">
        <v>330</v>
      </c>
    </row>
    <row r="45" ht="15">
      <c r="A45" s="348" t="s">
        <v>331</v>
      </c>
    </row>
    <row r="46" ht="15">
      <c r="A46" s="348" t="s">
        <v>332</v>
      </c>
    </row>
    <row r="47" ht="15">
      <c r="A47" s="348" t="s">
        <v>333</v>
      </c>
    </row>
    <row r="48" ht="15">
      <c r="A48" s="348" t="s">
        <v>334</v>
      </c>
    </row>
    <row r="49" ht="15">
      <c r="A49" s="348" t="s">
        <v>335</v>
      </c>
    </row>
    <row r="50" ht="15">
      <c r="A50" s="348" t="s">
        <v>336</v>
      </c>
    </row>
    <row r="51" ht="15">
      <c r="A51" s="348" t="s">
        <v>337</v>
      </c>
    </row>
    <row r="52" ht="15">
      <c r="A52" s="348" t="s">
        <v>338</v>
      </c>
    </row>
    <row r="53" ht="15">
      <c r="A53" s="348" t="s">
        <v>339</v>
      </c>
    </row>
    <row r="54" ht="15">
      <c r="A54" s="348" t="s">
        <v>340</v>
      </c>
    </row>
    <row r="55" ht="15">
      <c r="A55" s="348" t="s">
        <v>341</v>
      </c>
    </row>
    <row r="56" ht="15">
      <c r="A56" s="348"/>
    </row>
    <row r="57" ht="15">
      <c r="A57" s="348" t="s">
        <v>342</v>
      </c>
    </row>
    <row r="58" ht="15">
      <c r="A58" s="348" t="s">
        <v>343</v>
      </c>
    </row>
    <row r="59" ht="15">
      <c r="A59" s="348" t="s">
        <v>344</v>
      </c>
    </row>
    <row r="60" ht="15">
      <c r="A60" s="348"/>
    </row>
    <row r="61" ht="15">
      <c r="A61" s="349" t="str">
        <f>CONCATENATE("What if the ",inputPrYr!D6-2," financial records have been closed?")</f>
        <v>What if the -2 financial records have been closed?</v>
      </c>
    </row>
    <row r="63" ht="15">
      <c r="A63" s="348" t="s">
        <v>345</v>
      </c>
    </row>
    <row r="64" ht="15">
      <c r="A64" s="348" t="str">
        <f>CONCATENATE("(i.e. an audit for ",inputPrYr!D6-2," has been completed, or the ",inputPrYr!D6)</f>
        <v>(i.e. an audit for -2 has been completed, or the </v>
      </c>
    </row>
    <row r="65" ht="15">
      <c r="A65" s="348" t="s">
        <v>346</v>
      </c>
    </row>
    <row r="66" ht="15">
      <c r="A66" s="348" t="s">
        <v>347</v>
      </c>
    </row>
    <row r="67" ht="15">
      <c r="A67" s="348"/>
    </row>
    <row r="68" ht="15">
      <c r="A68" s="348" t="s">
        <v>348</v>
      </c>
    </row>
    <row r="69" ht="15">
      <c r="A69" s="348" t="s">
        <v>349</v>
      </c>
    </row>
    <row r="70" ht="15">
      <c r="A70" s="348" t="s">
        <v>350</v>
      </c>
    </row>
    <row r="71" ht="15">
      <c r="A71" s="348"/>
    </row>
    <row r="72" ht="15">
      <c r="A72" s="348" t="s">
        <v>351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8" sqref="N118"/>
    </sheetView>
  </sheetViews>
  <sheetFormatPr defaultColWidth="8.796875" defaultRowHeight="15"/>
  <cols>
    <col min="1" max="1" width="71.296875" style="0" customWidth="1"/>
  </cols>
  <sheetData>
    <row r="3" spans="1:10" ht="15">
      <c r="A3" s="347" t="s">
        <v>352</v>
      </c>
      <c r="B3" s="347"/>
      <c r="C3" s="347"/>
      <c r="D3" s="347"/>
      <c r="E3" s="347"/>
      <c r="F3" s="347"/>
      <c r="G3" s="347"/>
      <c r="H3" s="350"/>
      <c r="I3" s="350"/>
      <c r="J3" s="350"/>
    </row>
    <row r="5" ht="15">
      <c r="A5" s="348" t="s">
        <v>353</v>
      </c>
    </row>
    <row r="6" ht="15">
      <c r="A6" t="str">
        <f>CONCATENATE(inputPrYr!D6-2," expenditures show that you finished the year with a ")</f>
        <v>-2 expenditures show that you finished the year with a </v>
      </c>
    </row>
    <row r="7" ht="15">
      <c r="A7" t="s">
        <v>354</v>
      </c>
    </row>
    <row r="9" ht="15">
      <c r="A9" t="s">
        <v>355</v>
      </c>
    </row>
    <row r="10" ht="15">
      <c r="A10" t="s">
        <v>356</v>
      </c>
    </row>
    <row r="11" ht="15">
      <c r="A11" t="s">
        <v>357</v>
      </c>
    </row>
    <row r="13" ht="15">
      <c r="A13" s="349" t="s">
        <v>358</v>
      </c>
    </row>
    <row r="14" ht="15">
      <c r="A14" s="349"/>
    </row>
    <row r="15" ht="15">
      <c r="A15" s="348" t="s">
        <v>359</v>
      </c>
    </row>
    <row r="16" ht="15">
      <c r="A16" s="348" t="s">
        <v>360</v>
      </c>
    </row>
    <row r="17" ht="15">
      <c r="A17" s="348" t="s">
        <v>361</v>
      </c>
    </row>
    <row r="18" ht="15">
      <c r="A18" s="348"/>
    </row>
    <row r="19" ht="15">
      <c r="A19" s="349" t="s">
        <v>362</v>
      </c>
    </row>
    <row r="20" ht="15">
      <c r="A20" s="349"/>
    </row>
    <row r="21" ht="15">
      <c r="A21" s="348" t="s">
        <v>363</v>
      </c>
    </row>
    <row r="22" ht="15">
      <c r="A22" s="348" t="s">
        <v>364</v>
      </c>
    </row>
    <row r="23" ht="15">
      <c r="A23" s="348" t="s">
        <v>365</v>
      </c>
    </row>
    <row r="24" ht="15">
      <c r="A24" s="348"/>
    </row>
    <row r="25" ht="15">
      <c r="A25" s="349" t="s">
        <v>366</v>
      </c>
    </row>
    <row r="26" ht="15">
      <c r="A26" s="349"/>
    </row>
    <row r="27" ht="15">
      <c r="A27" s="348" t="s">
        <v>367</v>
      </c>
    </row>
    <row r="28" ht="15">
      <c r="A28" s="348" t="s">
        <v>368</v>
      </c>
    </row>
    <row r="29" ht="15">
      <c r="A29" s="348" t="s">
        <v>369</v>
      </c>
    </row>
    <row r="30" ht="15">
      <c r="A30" s="348"/>
    </row>
    <row r="31" ht="15">
      <c r="A31" s="349" t="s">
        <v>370</v>
      </c>
    </row>
    <row r="32" ht="15">
      <c r="A32" s="349"/>
    </row>
    <row r="33" spans="1:8" ht="15">
      <c r="A33" s="348" t="str">
        <f>CONCATENATE("If your financial records for ",inputPrYr!D6-2," are not closed")</f>
        <v>If your financial records for -2 are not closed</v>
      </c>
      <c r="B33" s="348"/>
      <c r="C33" s="348"/>
      <c r="D33" s="348"/>
      <c r="E33" s="348"/>
      <c r="F33" s="348"/>
      <c r="G33" s="348"/>
      <c r="H33" s="348"/>
    </row>
    <row r="34" spans="1:8" ht="15">
      <c r="A34" s="348" t="str">
        <f>CONCATENATE("(i.e. an audit has not been completed, or the ",inputPrYr!D6," adopted ")</f>
        <v>(i.e. an audit has not been completed, or the  adopted </v>
      </c>
      <c r="B34" s="348"/>
      <c r="C34" s="348"/>
      <c r="D34" s="348"/>
      <c r="E34" s="348"/>
      <c r="F34" s="348"/>
      <c r="G34" s="348"/>
      <c r="H34" s="348"/>
    </row>
    <row r="35" spans="1:8" ht="15">
      <c r="A35" s="348" t="s">
        <v>371</v>
      </c>
      <c r="B35" s="348"/>
      <c r="C35" s="348"/>
      <c r="D35" s="348"/>
      <c r="E35" s="348"/>
      <c r="F35" s="348"/>
      <c r="G35" s="348"/>
      <c r="H35" s="348"/>
    </row>
    <row r="36" spans="1:8" ht="15">
      <c r="A36" s="348" t="s">
        <v>372</v>
      </c>
      <c r="B36" s="348"/>
      <c r="C36" s="348"/>
      <c r="D36" s="348"/>
      <c r="E36" s="348"/>
      <c r="F36" s="348"/>
      <c r="G36" s="348"/>
      <c r="H36" s="348"/>
    </row>
    <row r="37" spans="1:8" ht="15">
      <c r="A37" s="348" t="s">
        <v>373</v>
      </c>
      <c r="B37" s="348"/>
      <c r="C37" s="348"/>
      <c r="D37" s="348"/>
      <c r="E37" s="348"/>
      <c r="F37" s="348"/>
      <c r="G37" s="348"/>
      <c r="H37" s="348"/>
    </row>
    <row r="38" spans="1:8" ht="15">
      <c r="A38" s="348" t="s">
        <v>374</v>
      </c>
      <c r="B38" s="348"/>
      <c r="C38" s="348"/>
      <c r="D38" s="348"/>
      <c r="E38" s="348"/>
      <c r="F38" s="348"/>
      <c r="G38" s="348"/>
      <c r="H38" s="348"/>
    </row>
    <row r="39" spans="1:8" ht="15">
      <c r="A39" s="348" t="s">
        <v>375</v>
      </c>
      <c r="B39" s="348"/>
      <c r="C39" s="348"/>
      <c r="D39" s="348"/>
      <c r="E39" s="348"/>
      <c r="F39" s="348"/>
      <c r="G39" s="348"/>
      <c r="H39" s="348"/>
    </row>
    <row r="40" spans="1:8" ht="15">
      <c r="A40" s="348"/>
      <c r="B40" s="348"/>
      <c r="C40" s="348"/>
      <c r="D40" s="348"/>
      <c r="E40" s="348"/>
      <c r="F40" s="348"/>
      <c r="G40" s="348"/>
      <c r="H40" s="348"/>
    </row>
    <row r="41" spans="1:8" ht="15">
      <c r="A41" s="348" t="s">
        <v>376</v>
      </c>
      <c r="B41" s="348"/>
      <c r="C41" s="348"/>
      <c r="D41" s="348"/>
      <c r="E41" s="348"/>
      <c r="F41" s="348"/>
      <c r="G41" s="348"/>
      <c r="H41" s="348"/>
    </row>
    <row r="42" spans="1:8" ht="15">
      <c r="A42" s="348" t="s">
        <v>377</v>
      </c>
      <c r="B42" s="348"/>
      <c r="C42" s="348"/>
      <c r="D42" s="348"/>
      <c r="E42" s="348"/>
      <c r="F42" s="348"/>
      <c r="G42" s="348"/>
      <c r="H42" s="348"/>
    </row>
    <row r="43" spans="1:8" ht="15">
      <c r="A43" s="348" t="s">
        <v>378</v>
      </c>
      <c r="B43" s="348"/>
      <c r="C43" s="348"/>
      <c r="D43" s="348"/>
      <c r="E43" s="348"/>
      <c r="F43" s="348"/>
      <c r="G43" s="348"/>
      <c r="H43" s="348"/>
    </row>
    <row r="44" spans="1:8" ht="15">
      <c r="A44" s="348" t="s">
        <v>379</v>
      </c>
      <c r="B44" s="348"/>
      <c r="C44" s="348"/>
      <c r="D44" s="348"/>
      <c r="E44" s="348"/>
      <c r="F44" s="348"/>
      <c r="G44" s="348"/>
      <c r="H44" s="348"/>
    </row>
    <row r="45" spans="1:8" ht="15">
      <c r="A45" s="348"/>
      <c r="B45" s="348"/>
      <c r="C45" s="348"/>
      <c r="D45" s="348"/>
      <c r="E45" s="348"/>
      <c r="F45" s="348"/>
      <c r="G45" s="348"/>
      <c r="H45" s="348"/>
    </row>
    <row r="46" spans="1:8" ht="15">
      <c r="A46" s="348" t="s">
        <v>380</v>
      </c>
      <c r="B46" s="348"/>
      <c r="C46" s="348"/>
      <c r="D46" s="348"/>
      <c r="E46" s="348"/>
      <c r="F46" s="348"/>
      <c r="G46" s="348"/>
      <c r="H46" s="348"/>
    </row>
    <row r="47" spans="1:8" ht="15">
      <c r="A47" s="348" t="s">
        <v>381</v>
      </c>
      <c r="B47" s="348"/>
      <c r="C47" s="348"/>
      <c r="D47" s="348"/>
      <c r="E47" s="348"/>
      <c r="F47" s="348"/>
      <c r="G47" s="348"/>
      <c r="H47" s="348"/>
    </row>
    <row r="48" spans="1:8" ht="15">
      <c r="A48" s="348" t="s">
        <v>382</v>
      </c>
      <c r="B48" s="348"/>
      <c r="C48" s="348"/>
      <c r="D48" s="348"/>
      <c r="E48" s="348"/>
      <c r="F48" s="348"/>
      <c r="G48" s="348"/>
      <c r="H48" s="348"/>
    </row>
    <row r="49" spans="1:8" ht="15">
      <c r="A49" s="348" t="s">
        <v>383</v>
      </c>
      <c r="B49" s="348"/>
      <c r="C49" s="348"/>
      <c r="D49" s="348"/>
      <c r="E49" s="348"/>
      <c r="F49" s="348"/>
      <c r="G49" s="348"/>
      <c r="H49" s="348"/>
    </row>
    <row r="50" spans="1:8" ht="15">
      <c r="A50" s="348" t="s">
        <v>384</v>
      </c>
      <c r="B50" s="348"/>
      <c r="C50" s="348"/>
      <c r="D50" s="348"/>
      <c r="E50" s="348"/>
      <c r="F50" s="348"/>
      <c r="G50" s="348"/>
      <c r="H50" s="348"/>
    </row>
    <row r="51" spans="1:8" ht="15">
      <c r="A51" s="348"/>
      <c r="B51" s="348"/>
      <c r="C51" s="348"/>
      <c r="D51" s="348"/>
      <c r="E51" s="348"/>
      <c r="F51" s="348"/>
      <c r="G51" s="348"/>
      <c r="H51" s="348"/>
    </row>
    <row r="52" spans="1:8" ht="15">
      <c r="A52" s="349" t="s">
        <v>385</v>
      </c>
      <c r="B52" s="349"/>
      <c r="C52" s="349"/>
      <c r="D52" s="349"/>
      <c r="E52" s="349"/>
      <c r="F52" s="349"/>
      <c r="G52" s="349"/>
      <c r="H52" s="348"/>
    </row>
    <row r="53" spans="1:8" ht="15">
      <c r="A53" s="349" t="s">
        <v>386</v>
      </c>
      <c r="B53" s="349"/>
      <c r="C53" s="349"/>
      <c r="D53" s="349"/>
      <c r="E53" s="349"/>
      <c r="F53" s="349"/>
      <c r="G53" s="349"/>
      <c r="H53" s="348"/>
    </row>
    <row r="54" spans="1:8" ht="15">
      <c r="A54" s="348"/>
      <c r="B54" s="348"/>
      <c r="C54" s="348"/>
      <c r="D54" s="348"/>
      <c r="E54" s="348"/>
      <c r="F54" s="348"/>
      <c r="G54" s="348"/>
      <c r="H54" s="348"/>
    </row>
    <row r="55" spans="1:8" ht="15">
      <c r="A55" s="348" t="s">
        <v>387</v>
      </c>
      <c r="B55" s="348"/>
      <c r="C55" s="348"/>
      <c r="D55" s="348"/>
      <c r="E55" s="348"/>
      <c r="F55" s="348"/>
      <c r="G55" s="348"/>
      <c r="H55" s="348"/>
    </row>
    <row r="56" spans="1:8" ht="15">
      <c r="A56" s="348" t="s">
        <v>388</v>
      </c>
      <c r="B56" s="348"/>
      <c r="C56" s="348"/>
      <c r="D56" s="348"/>
      <c r="E56" s="348"/>
      <c r="F56" s="348"/>
      <c r="G56" s="348"/>
      <c r="H56" s="348"/>
    </row>
    <row r="57" spans="1:8" ht="15">
      <c r="A57" s="348" t="s">
        <v>389</v>
      </c>
      <c r="B57" s="348"/>
      <c r="C57" s="348"/>
      <c r="D57" s="348"/>
      <c r="E57" s="348"/>
      <c r="F57" s="348"/>
      <c r="G57" s="348"/>
      <c r="H57" s="348"/>
    </row>
    <row r="58" spans="1:8" ht="15">
      <c r="A58" s="348" t="s">
        <v>390</v>
      </c>
      <c r="B58" s="348"/>
      <c r="C58" s="348"/>
      <c r="D58" s="348"/>
      <c r="E58" s="348"/>
      <c r="F58" s="348"/>
      <c r="G58" s="348"/>
      <c r="H58" s="348"/>
    </row>
    <row r="59" spans="1:8" ht="15">
      <c r="A59" s="348"/>
      <c r="B59" s="348"/>
      <c r="C59" s="348"/>
      <c r="D59" s="348"/>
      <c r="E59" s="348"/>
      <c r="F59" s="348"/>
      <c r="G59" s="348"/>
      <c r="H59" s="348"/>
    </row>
    <row r="60" spans="1:8" ht="15">
      <c r="A60" s="348" t="s">
        <v>391</v>
      </c>
      <c r="B60" s="348"/>
      <c r="C60" s="348"/>
      <c r="D60" s="348"/>
      <c r="E60" s="348"/>
      <c r="F60" s="348"/>
      <c r="G60" s="348"/>
      <c r="H60" s="348"/>
    </row>
    <row r="61" spans="1:8" ht="15">
      <c r="A61" s="348" t="s">
        <v>392</v>
      </c>
      <c r="B61" s="348"/>
      <c r="C61" s="348"/>
      <c r="D61" s="348"/>
      <c r="E61" s="348"/>
      <c r="F61" s="348"/>
      <c r="G61" s="348"/>
      <c r="H61" s="348"/>
    </row>
    <row r="62" spans="1:8" ht="15">
      <c r="A62" s="348" t="s">
        <v>393</v>
      </c>
      <c r="B62" s="348"/>
      <c r="C62" s="348"/>
      <c r="D62" s="348"/>
      <c r="E62" s="348"/>
      <c r="F62" s="348"/>
      <c r="G62" s="348"/>
      <c r="H62" s="348"/>
    </row>
    <row r="63" spans="1:8" ht="15">
      <c r="A63" s="348" t="s">
        <v>394</v>
      </c>
      <c r="B63" s="348"/>
      <c r="C63" s="348"/>
      <c r="D63" s="348"/>
      <c r="E63" s="348"/>
      <c r="F63" s="348"/>
      <c r="G63" s="348"/>
      <c r="H63" s="348"/>
    </row>
    <row r="64" spans="1:8" ht="15">
      <c r="A64" s="348" t="s">
        <v>395</v>
      </c>
      <c r="B64" s="348"/>
      <c r="C64" s="348"/>
      <c r="D64" s="348"/>
      <c r="E64" s="348"/>
      <c r="F64" s="348"/>
      <c r="G64" s="348"/>
      <c r="H64" s="348"/>
    </row>
    <row r="65" spans="1:8" ht="15">
      <c r="A65" s="348" t="s">
        <v>396</v>
      </c>
      <c r="B65" s="348"/>
      <c r="C65" s="348"/>
      <c r="D65" s="348"/>
      <c r="E65" s="348"/>
      <c r="F65" s="348"/>
      <c r="G65" s="348"/>
      <c r="H65" s="348"/>
    </row>
    <row r="66" spans="1:8" ht="15">
      <c r="A66" s="348"/>
      <c r="B66" s="348"/>
      <c r="C66" s="348"/>
      <c r="D66" s="348"/>
      <c r="E66" s="348"/>
      <c r="F66" s="348"/>
      <c r="G66" s="348"/>
      <c r="H66" s="348"/>
    </row>
    <row r="67" spans="1:8" ht="15">
      <c r="A67" s="348" t="s">
        <v>397</v>
      </c>
      <c r="B67" s="348"/>
      <c r="C67" s="348"/>
      <c r="D67" s="348"/>
      <c r="E67" s="348"/>
      <c r="F67" s="348"/>
      <c r="G67" s="348"/>
      <c r="H67" s="348"/>
    </row>
    <row r="68" spans="1:8" ht="15">
      <c r="A68" s="348" t="s">
        <v>398</v>
      </c>
      <c r="B68" s="348"/>
      <c r="C68" s="348"/>
      <c r="D68" s="348"/>
      <c r="E68" s="348"/>
      <c r="F68" s="348"/>
      <c r="G68" s="348"/>
      <c r="H68" s="348"/>
    </row>
    <row r="69" spans="1:8" ht="15">
      <c r="A69" s="348" t="s">
        <v>399</v>
      </c>
      <c r="B69" s="348"/>
      <c r="C69" s="348"/>
      <c r="D69" s="348"/>
      <c r="E69" s="348"/>
      <c r="F69" s="348"/>
      <c r="G69" s="348"/>
      <c r="H69" s="348"/>
    </row>
    <row r="70" spans="1:8" ht="15">
      <c r="A70" s="348" t="s">
        <v>400</v>
      </c>
      <c r="B70" s="348"/>
      <c r="C70" s="348"/>
      <c r="D70" s="348"/>
      <c r="E70" s="348"/>
      <c r="F70" s="348"/>
      <c r="G70" s="348"/>
      <c r="H70" s="348"/>
    </row>
    <row r="71" spans="1:8" ht="15">
      <c r="A71" s="348" t="s">
        <v>401</v>
      </c>
      <c r="B71" s="348"/>
      <c r="C71" s="348"/>
      <c r="D71" s="348"/>
      <c r="E71" s="348"/>
      <c r="F71" s="348"/>
      <c r="G71" s="348"/>
      <c r="H71" s="348"/>
    </row>
    <row r="72" spans="1:8" ht="15">
      <c r="A72" s="348" t="s">
        <v>402</v>
      </c>
      <c r="B72" s="348"/>
      <c r="C72" s="348"/>
      <c r="D72" s="348"/>
      <c r="E72" s="348"/>
      <c r="F72" s="348"/>
      <c r="G72" s="348"/>
      <c r="H72" s="348"/>
    </row>
    <row r="73" spans="1:8" ht="15">
      <c r="A73" s="348" t="s">
        <v>403</v>
      </c>
      <c r="B73" s="348"/>
      <c r="C73" s="348"/>
      <c r="D73" s="348"/>
      <c r="E73" s="348"/>
      <c r="F73" s="348"/>
      <c r="G73" s="348"/>
      <c r="H73" s="348"/>
    </row>
    <row r="74" spans="1:8" ht="15">
      <c r="A74" s="348"/>
      <c r="B74" s="348"/>
      <c r="C74" s="348"/>
      <c r="D74" s="348"/>
      <c r="E74" s="348"/>
      <c r="F74" s="348"/>
      <c r="G74" s="348"/>
      <c r="H74" s="348"/>
    </row>
    <row r="75" spans="1:8" ht="15">
      <c r="A75" s="348" t="s">
        <v>404</v>
      </c>
      <c r="B75" s="348"/>
      <c r="C75" s="348"/>
      <c r="D75" s="348"/>
      <c r="E75" s="348"/>
      <c r="F75" s="348"/>
      <c r="G75" s="348"/>
      <c r="H75" s="348"/>
    </row>
    <row r="76" spans="1:8" ht="15">
      <c r="A76" s="348" t="s">
        <v>405</v>
      </c>
      <c r="B76" s="348"/>
      <c r="C76" s="348"/>
      <c r="D76" s="348"/>
      <c r="E76" s="348"/>
      <c r="F76" s="348"/>
      <c r="G76" s="348"/>
      <c r="H76" s="348"/>
    </row>
    <row r="77" spans="1:8" ht="15">
      <c r="A77" s="348" t="s">
        <v>406</v>
      </c>
      <c r="B77" s="348"/>
      <c r="C77" s="348"/>
      <c r="D77" s="348"/>
      <c r="E77" s="348"/>
      <c r="F77" s="348"/>
      <c r="G77" s="348"/>
      <c r="H77" s="348"/>
    </row>
    <row r="78" spans="1:8" ht="15">
      <c r="A78" s="348"/>
      <c r="B78" s="348"/>
      <c r="C78" s="348"/>
      <c r="D78" s="348"/>
      <c r="E78" s="348"/>
      <c r="F78" s="348"/>
      <c r="G78" s="348"/>
      <c r="H78" s="348"/>
    </row>
    <row r="79" ht="15">
      <c r="A79" s="348" t="s">
        <v>351</v>
      </c>
    </row>
    <row r="80" ht="15">
      <c r="A80" s="349"/>
    </row>
    <row r="81" ht="15">
      <c r="A81" s="348"/>
    </row>
    <row r="82" ht="15">
      <c r="A82" s="348"/>
    </row>
    <row r="83" ht="15">
      <c r="A83" s="348"/>
    </row>
    <row r="84" ht="15">
      <c r="A84" s="348"/>
    </row>
    <row r="85" ht="15">
      <c r="A85" s="348"/>
    </row>
    <row r="86" ht="15">
      <c r="A86" s="348"/>
    </row>
    <row r="87" ht="15">
      <c r="A87" s="348"/>
    </row>
    <row r="88" ht="15">
      <c r="A88" s="348"/>
    </row>
    <row r="89" ht="15">
      <c r="A89" s="348"/>
    </row>
    <row r="90" ht="15">
      <c r="A90" s="348"/>
    </row>
    <row r="91" ht="15">
      <c r="A91" s="348"/>
    </row>
    <row r="92" ht="15">
      <c r="A92" s="348"/>
    </row>
    <row r="93" ht="15">
      <c r="A93" s="348"/>
    </row>
    <row r="94" ht="15">
      <c r="A94" s="348"/>
    </row>
    <row r="95" ht="15">
      <c r="A95" s="348"/>
    </row>
    <row r="96" ht="15">
      <c r="A96" s="348"/>
    </row>
    <row r="97" ht="15">
      <c r="A97" s="348"/>
    </row>
    <row r="98" ht="15">
      <c r="A98" s="348"/>
    </row>
    <row r="99" ht="15">
      <c r="A99" s="348"/>
    </row>
    <row r="100" ht="15">
      <c r="A100" s="348"/>
    </row>
    <row r="101" ht="15">
      <c r="A101" s="348"/>
    </row>
    <row r="103" ht="15">
      <c r="A103" s="348"/>
    </row>
    <row r="104" ht="15">
      <c r="A104" s="348"/>
    </row>
    <row r="105" ht="15">
      <c r="A105" s="348"/>
    </row>
    <row r="107" ht="15">
      <c r="A107" s="349"/>
    </row>
    <row r="108" ht="15">
      <c r="A108" s="349"/>
    </row>
    <row r="109" ht="15">
      <c r="A109" s="349"/>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96" sqref="N96"/>
    </sheetView>
  </sheetViews>
  <sheetFormatPr defaultColWidth="8.796875" defaultRowHeight="15"/>
  <cols>
    <col min="1" max="1" width="71.296875" style="0" customWidth="1"/>
  </cols>
  <sheetData>
    <row r="3" spans="1:12" ht="15">
      <c r="A3" s="347" t="s">
        <v>407</v>
      </c>
      <c r="B3" s="347"/>
      <c r="C3" s="347"/>
      <c r="D3" s="347"/>
      <c r="E3" s="347"/>
      <c r="F3" s="347"/>
      <c r="G3" s="347"/>
      <c r="H3" s="347"/>
      <c r="I3" s="347"/>
      <c r="J3" s="347"/>
      <c r="K3" s="347"/>
      <c r="L3" s="347"/>
    </row>
    <row r="4" spans="1:12" ht="15">
      <c r="A4" s="347"/>
      <c r="B4" s="347"/>
      <c r="C4" s="347"/>
      <c r="D4" s="347"/>
      <c r="E4" s="347"/>
      <c r="F4" s="347"/>
      <c r="G4" s="347"/>
      <c r="H4" s="347"/>
      <c r="I4" s="347"/>
      <c r="J4" s="347"/>
      <c r="K4" s="347"/>
      <c r="L4" s="347"/>
    </row>
    <row r="5" spans="1:12" ht="15">
      <c r="A5" s="348" t="s">
        <v>307</v>
      </c>
      <c r="I5" s="347"/>
      <c r="J5" s="347"/>
      <c r="K5" s="347"/>
      <c r="L5" s="347"/>
    </row>
    <row r="6" spans="1:12" ht="15">
      <c r="A6" s="348" t="str">
        <f>CONCATENATE("estimated ",inputPrYr!D6-1," 'total expenditures' exceed your ",inputPrYr!D6-1,"")</f>
        <v>estimated -1 'total expenditures' exceed your -1</v>
      </c>
      <c r="I6" s="347"/>
      <c r="J6" s="347"/>
      <c r="K6" s="347"/>
      <c r="L6" s="347"/>
    </row>
    <row r="7" spans="1:12" ht="15">
      <c r="A7" s="351" t="s">
        <v>408</v>
      </c>
      <c r="I7" s="347"/>
      <c r="J7" s="347"/>
      <c r="K7" s="347"/>
      <c r="L7" s="347"/>
    </row>
    <row r="8" spans="1:12" ht="15">
      <c r="A8" s="348"/>
      <c r="I8" s="347"/>
      <c r="J8" s="347"/>
      <c r="K8" s="347"/>
      <c r="L8" s="347"/>
    </row>
    <row r="9" spans="1:12" ht="15">
      <c r="A9" s="348" t="s">
        <v>409</v>
      </c>
      <c r="I9" s="347"/>
      <c r="J9" s="347"/>
      <c r="K9" s="347"/>
      <c r="L9" s="347"/>
    </row>
    <row r="10" spans="1:12" ht="15">
      <c r="A10" s="348" t="s">
        <v>410</v>
      </c>
      <c r="I10" s="347"/>
      <c r="J10" s="347"/>
      <c r="K10" s="347"/>
      <c r="L10" s="347"/>
    </row>
    <row r="11" spans="1:12" ht="15">
      <c r="A11" s="348" t="s">
        <v>411</v>
      </c>
      <c r="I11" s="347"/>
      <c r="J11" s="347"/>
      <c r="K11" s="347"/>
      <c r="L11" s="347"/>
    </row>
    <row r="12" spans="1:12" ht="15">
      <c r="A12" s="348" t="s">
        <v>412</v>
      </c>
      <c r="I12" s="347"/>
      <c r="J12" s="347"/>
      <c r="K12" s="347"/>
      <c r="L12" s="347"/>
    </row>
    <row r="13" spans="1:12" ht="15">
      <c r="A13" s="348" t="s">
        <v>413</v>
      </c>
      <c r="I13" s="347"/>
      <c r="J13" s="347"/>
      <c r="K13" s="347"/>
      <c r="L13" s="347"/>
    </row>
    <row r="14" spans="1:12" ht="15">
      <c r="A14" s="347"/>
      <c r="B14" s="347"/>
      <c r="C14" s="347"/>
      <c r="D14" s="347"/>
      <c r="E14" s="347"/>
      <c r="F14" s="347"/>
      <c r="G14" s="347"/>
      <c r="H14" s="347"/>
      <c r="I14" s="347"/>
      <c r="J14" s="347"/>
      <c r="K14" s="347"/>
      <c r="L14" s="347"/>
    </row>
    <row r="15" ht="15">
      <c r="A15" s="349" t="s">
        <v>414</v>
      </c>
    </row>
    <row r="16" ht="15">
      <c r="A16" s="349" t="s">
        <v>415</v>
      </c>
    </row>
    <row r="17" ht="15">
      <c r="A17" s="349"/>
    </row>
    <row r="18" spans="1:7" ht="15">
      <c r="A18" s="348" t="s">
        <v>416</v>
      </c>
      <c r="B18" s="348"/>
      <c r="C18" s="348"/>
      <c r="D18" s="348"/>
      <c r="E18" s="348"/>
      <c r="F18" s="348"/>
      <c r="G18" s="348"/>
    </row>
    <row r="19" spans="1:7" ht="15">
      <c r="A19" s="348" t="str">
        <f>CONCATENATE("your ",inputPrYr!D6-1," numbers to see what steps might be necessary to")</f>
        <v>your -1 numbers to see what steps might be necessary to</v>
      </c>
      <c r="B19" s="348"/>
      <c r="C19" s="348"/>
      <c r="D19" s="348"/>
      <c r="E19" s="348"/>
      <c r="F19" s="348"/>
      <c r="G19" s="348"/>
    </row>
    <row r="20" spans="1:7" ht="15">
      <c r="A20" s="348" t="s">
        <v>417</v>
      </c>
      <c r="B20" s="348"/>
      <c r="C20" s="348"/>
      <c r="D20" s="348"/>
      <c r="E20" s="348"/>
      <c r="F20" s="348"/>
      <c r="G20" s="348"/>
    </row>
    <row r="21" spans="1:7" ht="15">
      <c r="A21" s="348" t="s">
        <v>418</v>
      </c>
      <c r="B21" s="348"/>
      <c r="C21" s="348"/>
      <c r="D21" s="348"/>
      <c r="E21" s="348"/>
      <c r="F21" s="348"/>
      <c r="G21" s="348"/>
    </row>
    <row r="22" ht="15">
      <c r="A22" s="348"/>
    </row>
    <row r="23" ht="15">
      <c r="A23" s="349" t="s">
        <v>419</v>
      </c>
    </row>
    <row r="24" ht="15">
      <c r="A24" s="349"/>
    </row>
    <row r="25" ht="15">
      <c r="A25" s="348" t="s">
        <v>420</v>
      </c>
    </row>
    <row r="26" spans="1:6" ht="15">
      <c r="A26" s="348" t="s">
        <v>421</v>
      </c>
      <c r="B26" s="348"/>
      <c r="C26" s="348"/>
      <c r="D26" s="348"/>
      <c r="E26" s="348"/>
      <c r="F26" s="348"/>
    </row>
    <row r="27" spans="1:6" ht="15">
      <c r="A27" s="348" t="s">
        <v>422</v>
      </c>
      <c r="B27" s="348"/>
      <c r="C27" s="348"/>
      <c r="D27" s="348"/>
      <c r="E27" s="348"/>
      <c r="F27" s="348"/>
    </row>
    <row r="28" spans="1:6" ht="15">
      <c r="A28" s="348" t="s">
        <v>423</v>
      </c>
      <c r="B28" s="348"/>
      <c r="C28" s="348"/>
      <c r="D28" s="348"/>
      <c r="E28" s="348"/>
      <c r="F28" s="348"/>
    </row>
    <row r="29" spans="1:6" ht="15">
      <c r="A29" s="348"/>
      <c r="B29" s="348"/>
      <c r="C29" s="348"/>
      <c r="D29" s="348"/>
      <c r="E29" s="348"/>
      <c r="F29" s="348"/>
    </row>
    <row r="30" spans="1:7" ht="15">
      <c r="A30" s="349" t="s">
        <v>424</v>
      </c>
      <c r="B30" s="349"/>
      <c r="C30" s="349"/>
      <c r="D30" s="349"/>
      <c r="E30" s="349"/>
      <c r="F30" s="349"/>
      <c r="G30" s="349"/>
    </row>
    <row r="31" spans="1:7" ht="15">
      <c r="A31" s="349" t="s">
        <v>425</v>
      </c>
      <c r="B31" s="349"/>
      <c r="C31" s="349"/>
      <c r="D31" s="349"/>
      <c r="E31" s="349"/>
      <c r="F31" s="349"/>
      <c r="G31" s="349"/>
    </row>
    <row r="32" spans="1:6" ht="15">
      <c r="A32" s="348"/>
      <c r="B32" s="348"/>
      <c r="C32" s="348"/>
      <c r="D32" s="348"/>
      <c r="E32" s="348"/>
      <c r="F32" s="348"/>
    </row>
    <row r="33" spans="1:6" ht="15">
      <c r="A33" s="354" t="str">
        <f>CONCATENATE("Well, let's look to see if any of your ",inputPrYr!D6-1," expenditures can")</f>
        <v>Well, let's look to see if any of your -1 expenditures can</v>
      </c>
      <c r="B33" s="348"/>
      <c r="C33" s="348"/>
      <c r="D33" s="348"/>
      <c r="E33" s="348"/>
      <c r="F33" s="348"/>
    </row>
    <row r="34" spans="1:6" ht="15">
      <c r="A34" s="354" t="s">
        <v>426</v>
      </c>
      <c r="B34" s="348"/>
      <c r="C34" s="348"/>
      <c r="D34" s="348"/>
      <c r="E34" s="348"/>
      <c r="F34" s="348"/>
    </row>
    <row r="35" spans="1:6" ht="15">
      <c r="A35" s="354" t="s">
        <v>321</v>
      </c>
      <c r="B35" s="348"/>
      <c r="C35" s="348"/>
      <c r="D35" s="348"/>
      <c r="E35" s="348"/>
      <c r="F35" s="348"/>
    </row>
    <row r="36" spans="1:6" ht="15">
      <c r="A36" s="354" t="s">
        <v>322</v>
      </c>
      <c r="B36" s="348"/>
      <c r="C36" s="348"/>
      <c r="D36" s="348"/>
      <c r="E36" s="348"/>
      <c r="F36" s="348"/>
    </row>
    <row r="37" spans="1:6" ht="15">
      <c r="A37" s="354"/>
      <c r="B37" s="348"/>
      <c r="C37" s="348"/>
      <c r="D37" s="348"/>
      <c r="E37" s="348"/>
      <c r="F37" s="348"/>
    </row>
    <row r="38" spans="1:6" ht="15">
      <c r="A38" s="354" t="str">
        <f>CONCATENATE("Additionally, do your ",inputPrYr!D6-1," receipts contain a reimbursement")</f>
        <v>Additionally, do your -1 receipts contain a reimbursement</v>
      </c>
      <c r="B38" s="348"/>
      <c r="C38" s="348"/>
      <c r="D38" s="348"/>
      <c r="E38" s="348"/>
      <c r="F38" s="348"/>
    </row>
    <row r="39" spans="1:6" ht="15">
      <c r="A39" s="354" t="s">
        <v>323</v>
      </c>
      <c r="B39" s="348"/>
      <c r="C39" s="348"/>
      <c r="D39" s="348"/>
      <c r="E39" s="348"/>
      <c r="F39" s="348"/>
    </row>
    <row r="40" spans="1:6" ht="15">
      <c r="A40" s="354" t="s">
        <v>324</v>
      </c>
      <c r="B40" s="348"/>
      <c r="C40" s="348"/>
      <c r="D40" s="348"/>
      <c r="E40" s="348"/>
      <c r="F40" s="348"/>
    </row>
    <row r="41" spans="1:6" ht="15">
      <c r="A41" s="354"/>
      <c r="B41" s="348"/>
      <c r="C41" s="348"/>
      <c r="D41" s="348"/>
      <c r="E41" s="348"/>
      <c r="F41" s="348"/>
    </row>
    <row r="42" spans="1:6" ht="15">
      <c r="A42" s="354" t="s">
        <v>427</v>
      </c>
      <c r="B42" s="348"/>
      <c r="C42" s="348"/>
      <c r="D42" s="348"/>
      <c r="E42" s="348"/>
      <c r="F42" s="348"/>
    </row>
    <row r="43" spans="1:6" ht="15">
      <c r="A43" s="354" t="s">
        <v>428</v>
      </c>
      <c r="B43" s="348"/>
      <c r="C43" s="348"/>
      <c r="D43" s="348"/>
      <c r="E43" s="348"/>
      <c r="F43" s="348"/>
    </row>
    <row r="44" spans="1:6" ht="15">
      <c r="A44" s="354" t="s">
        <v>429</v>
      </c>
      <c r="B44" s="348"/>
      <c r="C44" s="348"/>
      <c r="D44" s="348"/>
      <c r="E44" s="348"/>
      <c r="F44" s="348"/>
    </row>
    <row r="45" spans="1:6" ht="15">
      <c r="A45" s="354" t="s">
        <v>430</v>
      </c>
      <c r="B45" s="348"/>
      <c r="C45" s="348"/>
      <c r="D45" s="348"/>
      <c r="E45" s="348"/>
      <c r="F45" s="348"/>
    </row>
    <row r="46" spans="1:6" ht="15">
      <c r="A46" s="354" t="s">
        <v>431</v>
      </c>
      <c r="B46" s="348"/>
      <c r="C46" s="348"/>
      <c r="D46" s="348"/>
      <c r="E46" s="348"/>
      <c r="F46" s="348"/>
    </row>
    <row r="47" spans="1:6" ht="15">
      <c r="A47" s="354"/>
      <c r="B47" s="348"/>
      <c r="C47" s="348"/>
      <c r="D47" s="348"/>
      <c r="E47" s="348"/>
      <c r="F47" s="348"/>
    </row>
    <row r="48" spans="1:6" ht="15">
      <c r="A48" s="355" t="s">
        <v>432</v>
      </c>
      <c r="B48" s="348"/>
      <c r="C48" s="348"/>
      <c r="D48" s="348"/>
      <c r="E48" s="348"/>
      <c r="F48" s="348"/>
    </row>
    <row r="49" spans="1:6" ht="15">
      <c r="A49" s="355" t="s">
        <v>433</v>
      </c>
      <c r="B49" s="348"/>
      <c r="C49" s="348"/>
      <c r="D49" s="348"/>
      <c r="E49" s="348"/>
      <c r="F49" s="348"/>
    </row>
    <row r="50" spans="1:6" ht="15">
      <c r="A50" s="355" t="s">
        <v>434</v>
      </c>
      <c r="B50" s="348"/>
      <c r="C50" s="348"/>
      <c r="D50" s="348"/>
      <c r="E50" s="348"/>
      <c r="F50" s="348"/>
    </row>
    <row r="51" ht="15">
      <c r="A51" s="355" t="s">
        <v>435</v>
      </c>
    </row>
    <row r="52" ht="15">
      <c r="A52" s="355" t="s">
        <v>436</v>
      </c>
    </row>
    <row r="53" ht="15">
      <c r="A53" s="355" t="s">
        <v>437</v>
      </c>
    </row>
    <row r="55" ht="15">
      <c r="A55" s="348" t="s">
        <v>438</v>
      </c>
    </row>
    <row r="56" ht="15">
      <c r="A56" s="348" t="s">
        <v>439</v>
      </c>
    </row>
    <row r="57" ht="15">
      <c r="A57" s="348" t="s">
        <v>440</v>
      </c>
    </row>
    <row r="58" ht="15">
      <c r="A58" s="348" t="s">
        <v>441</v>
      </c>
    </row>
    <row r="59" ht="15">
      <c r="A59" s="348" t="s">
        <v>442</v>
      </c>
    </row>
    <row r="60" ht="15">
      <c r="A60" s="348" t="s">
        <v>443</v>
      </c>
    </row>
    <row r="62" ht="15">
      <c r="A62" s="348" t="s">
        <v>351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96" sqref="N96"/>
    </sheetView>
  </sheetViews>
  <sheetFormatPr defaultColWidth="8.796875" defaultRowHeight="15"/>
  <cols>
    <col min="1" max="1" width="71.296875" style="0" customWidth="1"/>
  </cols>
  <sheetData>
    <row r="3" spans="1:7" ht="15">
      <c r="A3" s="347" t="s">
        <v>444</v>
      </c>
      <c r="B3" s="347"/>
      <c r="C3" s="347"/>
      <c r="D3" s="347"/>
      <c r="E3" s="347"/>
      <c r="F3" s="347"/>
      <c r="G3" s="347"/>
    </row>
    <row r="4" spans="1:7" ht="15">
      <c r="A4" s="347"/>
      <c r="B4" s="347"/>
      <c r="C4" s="347"/>
      <c r="D4" s="347"/>
      <c r="E4" s="347"/>
      <c r="F4" s="347"/>
      <c r="G4" s="347"/>
    </row>
    <row r="5" ht="15">
      <c r="A5" s="348" t="s">
        <v>353</v>
      </c>
    </row>
    <row r="6" ht="15">
      <c r="A6" s="348" t="str">
        <f>CONCATENATE(inputPrYr!D6-1," estimated expenditures show that at the end of this year")</f>
        <v>-1 estimated expenditures show that at the end of this year</v>
      </c>
    </row>
    <row r="7" ht="15">
      <c r="A7" s="348" t="s">
        <v>445</v>
      </c>
    </row>
    <row r="8" ht="15">
      <c r="A8" s="348" t="s">
        <v>446</v>
      </c>
    </row>
    <row r="10" ht="15">
      <c r="A10" t="s">
        <v>355</v>
      </c>
    </row>
    <row r="11" ht="15">
      <c r="A11" t="s">
        <v>356</v>
      </c>
    </row>
    <row r="12" ht="15">
      <c r="A12" t="s">
        <v>357</v>
      </c>
    </row>
    <row r="13" spans="1:7" ht="15">
      <c r="A13" s="347"/>
      <c r="B13" s="347"/>
      <c r="C13" s="347"/>
      <c r="D13" s="347"/>
      <c r="E13" s="347"/>
      <c r="F13" s="347"/>
      <c r="G13" s="347"/>
    </row>
    <row r="14" ht="15">
      <c r="A14" s="349" t="s">
        <v>447</v>
      </c>
    </row>
    <row r="15" ht="15">
      <c r="A15" s="348"/>
    </row>
    <row r="16" ht="15">
      <c r="A16" s="348" t="s">
        <v>448</v>
      </c>
    </row>
    <row r="17" ht="15">
      <c r="A17" s="348" t="s">
        <v>449</v>
      </c>
    </row>
    <row r="18" ht="15">
      <c r="A18" s="348" t="s">
        <v>450</v>
      </c>
    </row>
    <row r="19" ht="15">
      <c r="A19" s="348"/>
    </row>
    <row r="20" ht="15">
      <c r="A20" s="348" t="s">
        <v>451</v>
      </c>
    </row>
    <row r="21" ht="15">
      <c r="A21" s="348" t="s">
        <v>452</v>
      </c>
    </row>
    <row r="22" ht="15">
      <c r="A22" s="348" t="s">
        <v>453</v>
      </c>
    </row>
    <row r="23" ht="15">
      <c r="A23" s="348" t="s">
        <v>454</v>
      </c>
    </row>
    <row r="24" ht="15">
      <c r="A24" s="348"/>
    </row>
    <row r="25" ht="15">
      <c r="A25" s="349" t="s">
        <v>419</v>
      </c>
    </row>
    <row r="26" ht="15">
      <c r="A26" s="349"/>
    </row>
    <row r="27" ht="15">
      <c r="A27" s="348" t="s">
        <v>420</v>
      </c>
    </row>
    <row r="28" spans="1:6" ht="15">
      <c r="A28" s="348" t="s">
        <v>421</v>
      </c>
      <c r="B28" s="348"/>
      <c r="C28" s="348"/>
      <c r="D28" s="348"/>
      <c r="E28" s="348"/>
      <c r="F28" s="348"/>
    </row>
    <row r="29" spans="1:6" ht="15">
      <c r="A29" s="348" t="s">
        <v>422</v>
      </c>
      <c r="B29" s="348"/>
      <c r="C29" s="348"/>
      <c r="D29" s="348"/>
      <c r="E29" s="348"/>
      <c r="F29" s="348"/>
    </row>
    <row r="30" spans="1:6" ht="15">
      <c r="A30" s="348" t="s">
        <v>423</v>
      </c>
      <c r="B30" s="348"/>
      <c r="C30" s="348"/>
      <c r="D30" s="348"/>
      <c r="E30" s="348"/>
      <c r="F30" s="348"/>
    </row>
    <row r="31" ht="15">
      <c r="A31" s="348"/>
    </row>
    <row r="32" spans="1:7" ht="15">
      <c r="A32" s="349" t="s">
        <v>424</v>
      </c>
      <c r="B32" s="349"/>
      <c r="C32" s="349"/>
      <c r="D32" s="349"/>
      <c r="E32" s="349"/>
      <c r="F32" s="349"/>
      <c r="G32" s="349"/>
    </row>
    <row r="33" spans="1:7" ht="15">
      <c r="A33" s="349" t="s">
        <v>425</v>
      </c>
      <c r="B33" s="349"/>
      <c r="C33" s="349"/>
      <c r="D33" s="349"/>
      <c r="E33" s="349"/>
      <c r="F33" s="349"/>
      <c r="G33" s="349"/>
    </row>
    <row r="34" spans="1:7" ht="15">
      <c r="A34" s="349"/>
      <c r="B34" s="349"/>
      <c r="C34" s="349"/>
      <c r="D34" s="349"/>
      <c r="E34" s="349"/>
      <c r="F34" s="349"/>
      <c r="G34" s="349"/>
    </row>
    <row r="35" spans="1:7" ht="15">
      <c r="A35" s="348" t="s">
        <v>455</v>
      </c>
      <c r="B35" s="348"/>
      <c r="C35" s="348"/>
      <c r="D35" s="348"/>
      <c r="E35" s="348"/>
      <c r="F35" s="348"/>
      <c r="G35" s="348"/>
    </row>
    <row r="36" spans="1:7" ht="15">
      <c r="A36" s="348" t="s">
        <v>456</v>
      </c>
      <c r="B36" s="348"/>
      <c r="C36" s="348"/>
      <c r="D36" s="348"/>
      <c r="E36" s="348"/>
      <c r="F36" s="348"/>
      <c r="G36" s="348"/>
    </row>
    <row r="37" spans="1:7" ht="15">
      <c r="A37" s="348" t="s">
        <v>457</v>
      </c>
      <c r="B37" s="348"/>
      <c r="C37" s="348"/>
      <c r="D37" s="348"/>
      <c r="E37" s="348"/>
      <c r="F37" s="348"/>
      <c r="G37" s="348"/>
    </row>
    <row r="38" spans="1:7" ht="15">
      <c r="A38" s="348" t="s">
        <v>458</v>
      </c>
      <c r="B38" s="348"/>
      <c r="C38" s="348"/>
      <c r="D38" s="348"/>
      <c r="E38" s="348"/>
      <c r="F38" s="348"/>
      <c r="G38" s="348"/>
    </row>
    <row r="39" spans="1:7" ht="15">
      <c r="A39" s="348" t="s">
        <v>459</v>
      </c>
      <c r="B39" s="348"/>
      <c r="C39" s="348"/>
      <c r="D39" s="348"/>
      <c r="E39" s="348"/>
      <c r="F39" s="348"/>
      <c r="G39" s="348"/>
    </row>
    <row r="40" spans="1:7" ht="15">
      <c r="A40" s="349"/>
      <c r="B40" s="349"/>
      <c r="C40" s="349"/>
      <c r="D40" s="349"/>
      <c r="E40" s="349"/>
      <c r="F40" s="349"/>
      <c r="G40" s="349"/>
    </row>
    <row r="41" spans="1:6" ht="15">
      <c r="A41" s="354" t="str">
        <f>CONCATENATE("So, let's look to see if any of your ",inputPrYr!D6-1," expenditures can")</f>
        <v>So, let's look to see if any of your -1 expenditures can</v>
      </c>
      <c r="B41" s="348"/>
      <c r="C41" s="348"/>
      <c r="D41" s="348"/>
      <c r="E41" s="348"/>
      <c r="F41" s="348"/>
    </row>
    <row r="42" spans="1:6" ht="15">
      <c r="A42" s="354" t="s">
        <v>426</v>
      </c>
      <c r="B42" s="348"/>
      <c r="C42" s="348"/>
      <c r="D42" s="348"/>
      <c r="E42" s="348"/>
      <c r="F42" s="348"/>
    </row>
    <row r="43" spans="1:6" ht="15">
      <c r="A43" s="354" t="s">
        <v>321</v>
      </c>
      <c r="B43" s="348"/>
      <c r="C43" s="348"/>
      <c r="D43" s="348"/>
      <c r="E43" s="348"/>
      <c r="F43" s="348"/>
    </row>
    <row r="44" spans="1:6" ht="15">
      <c r="A44" s="354" t="s">
        <v>322</v>
      </c>
      <c r="B44" s="348"/>
      <c r="C44" s="348"/>
      <c r="D44" s="348"/>
      <c r="E44" s="348"/>
      <c r="F44" s="348"/>
    </row>
    <row r="45" ht="15">
      <c r="A45" s="348"/>
    </row>
    <row r="46" spans="1:6" ht="15">
      <c r="A46" s="354" t="str">
        <f>CONCATENATE("Additionally, do your ",inputPrYr!D6-1," receipts contain a reimbursement")</f>
        <v>Additionally, do your -1 receipts contain a reimbursement</v>
      </c>
      <c r="B46" s="348"/>
      <c r="C46" s="348"/>
      <c r="D46" s="348"/>
      <c r="E46" s="348"/>
      <c r="F46" s="348"/>
    </row>
    <row r="47" spans="1:6" ht="15">
      <c r="A47" s="354" t="s">
        <v>323</v>
      </c>
      <c r="B47" s="348"/>
      <c r="C47" s="348"/>
      <c r="D47" s="348"/>
      <c r="E47" s="348"/>
      <c r="F47" s="348"/>
    </row>
    <row r="48" spans="1:6" ht="15">
      <c r="A48" s="354" t="s">
        <v>324</v>
      </c>
      <c r="B48" s="348"/>
      <c r="C48" s="348"/>
      <c r="D48" s="348"/>
      <c r="E48" s="348"/>
      <c r="F48" s="348"/>
    </row>
    <row r="49" spans="1:7" ht="15">
      <c r="A49" s="348"/>
      <c r="B49" s="348"/>
      <c r="C49" s="348"/>
      <c r="D49" s="348"/>
      <c r="E49" s="348"/>
      <c r="F49" s="348"/>
      <c r="G49" s="348"/>
    </row>
    <row r="50" spans="1:7" ht="15">
      <c r="A50" s="348" t="s">
        <v>380</v>
      </c>
      <c r="B50" s="348"/>
      <c r="C50" s="348"/>
      <c r="D50" s="348"/>
      <c r="E50" s="348"/>
      <c r="F50" s="348"/>
      <c r="G50" s="348"/>
    </row>
    <row r="51" spans="1:7" ht="15">
      <c r="A51" s="348" t="s">
        <v>381</v>
      </c>
      <c r="B51" s="348"/>
      <c r="C51" s="348"/>
      <c r="D51" s="348"/>
      <c r="E51" s="348"/>
      <c r="F51" s="348"/>
      <c r="G51" s="348"/>
    </row>
    <row r="52" spans="1:7" ht="15">
      <c r="A52" s="348" t="s">
        <v>382</v>
      </c>
      <c r="B52" s="348"/>
      <c r="C52" s="348"/>
      <c r="D52" s="348"/>
      <c r="E52" s="348"/>
      <c r="F52" s="348"/>
      <c r="G52" s="348"/>
    </row>
    <row r="53" spans="1:7" ht="15">
      <c r="A53" s="348" t="s">
        <v>383</v>
      </c>
      <c r="B53" s="348"/>
      <c r="C53" s="348"/>
      <c r="D53" s="348"/>
      <c r="E53" s="348"/>
      <c r="F53" s="348"/>
      <c r="G53" s="348"/>
    </row>
    <row r="54" spans="1:7" ht="15">
      <c r="A54" s="348" t="s">
        <v>384</v>
      </c>
      <c r="B54" s="348"/>
      <c r="C54" s="348"/>
      <c r="D54" s="348"/>
      <c r="E54" s="348"/>
      <c r="F54" s="348"/>
      <c r="G54" s="348"/>
    </row>
    <row r="55" spans="1:7" ht="15">
      <c r="A55" s="348"/>
      <c r="B55" s="348"/>
      <c r="C55" s="348"/>
      <c r="D55" s="348"/>
      <c r="E55" s="348"/>
      <c r="F55" s="348"/>
      <c r="G55" s="348"/>
    </row>
    <row r="56" spans="1:6" ht="15">
      <c r="A56" s="354" t="s">
        <v>460</v>
      </c>
      <c r="B56" s="348"/>
      <c r="C56" s="348"/>
      <c r="D56" s="348"/>
      <c r="E56" s="348"/>
      <c r="F56" s="348"/>
    </row>
    <row r="57" spans="1:6" ht="15">
      <c r="A57" s="354" t="s">
        <v>461</v>
      </c>
      <c r="B57" s="348"/>
      <c r="C57" s="348"/>
      <c r="D57" s="348"/>
      <c r="E57" s="348"/>
      <c r="F57" s="348"/>
    </row>
    <row r="58" spans="1:6" ht="15">
      <c r="A58" s="354" t="s">
        <v>462</v>
      </c>
      <c r="B58" s="348"/>
      <c r="C58" s="348"/>
      <c r="D58" s="348"/>
      <c r="E58" s="348"/>
      <c r="F58" s="348"/>
    </row>
    <row r="59" spans="1:6" ht="15">
      <c r="A59" s="354"/>
      <c r="B59" s="348"/>
      <c r="C59" s="348"/>
      <c r="D59" s="348"/>
      <c r="E59" s="348"/>
      <c r="F59" s="348"/>
    </row>
    <row r="60" spans="1:7" ht="15">
      <c r="A60" s="348" t="s">
        <v>463</v>
      </c>
      <c r="B60" s="348"/>
      <c r="C60" s="348"/>
      <c r="D60" s="348"/>
      <c r="E60" s="348"/>
      <c r="F60" s="348"/>
      <c r="G60" s="348"/>
    </row>
    <row r="61" spans="1:7" ht="15">
      <c r="A61" s="348" t="s">
        <v>464</v>
      </c>
      <c r="B61" s="348"/>
      <c r="C61" s="348"/>
      <c r="D61" s="348"/>
      <c r="E61" s="348"/>
      <c r="F61" s="348"/>
      <c r="G61" s="348"/>
    </row>
    <row r="62" spans="1:7" ht="15">
      <c r="A62" s="348" t="s">
        <v>465</v>
      </c>
      <c r="B62" s="348"/>
      <c r="C62" s="348"/>
      <c r="D62" s="348"/>
      <c r="E62" s="348"/>
      <c r="F62" s="348"/>
      <c r="G62" s="348"/>
    </row>
    <row r="63" spans="1:7" ht="15">
      <c r="A63" s="348" t="s">
        <v>466</v>
      </c>
      <c r="B63" s="348"/>
      <c r="C63" s="348"/>
      <c r="D63" s="348"/>
      <c r="E63" s="348"/>
      <c r="F63" s="348"/>
      <c r="G63" s="348"/>
    </row>
    <row r="64" spans="1:7" ht="15">
      <c r="A64" s="348" t="s">
        <v>467</v>
      </c>
      <c r="B64" s="348"/>
      <c r="C64" s="348"/>
      <c r="D64" s="348"/>
      <c r="E64" s="348"/>
      <c r="F64" s="348"/>
      <c r="G64" s="348"/>
    </row>
    <row r="66" spans="1:6" ht="15">
      <c r="A66" s="354" t="s">
        <v>427</v>
      </c>
      <c r="B66" s="348"/>
      <c r="C66" s="348"/>
      <c r="D66" s="348"/>
      <c r="E66" s="348"/>
      <c r="F66" s="348"/>
    </row>
    <row r="67" spans="1:6" ht="15">
      <c r="A67" s="354" t="s">
        <v>428</v>
      </c>
      <c r="B67" s="348"/>
      <c r="C67" s="348"/>
      <c r="D67" s="348"/>
      <c r="E67" s="348"/>
      <c r="F67" s="348"/>
    </row>
    <row r="68" spans="1:6" ht="15">
      <c r="A68" s="354" t="s">
        <v>429</v>
      </c>
      <c r="B68" s="348"/>
      <c r="C68" s="348"/>
      <c r="D68" s="348"/>
      <c r="E68" s="348"/>
      <c r="F68" s="348"/>
    </row>
    <row r="69" spans="1:6" ht="15">
      <c r="A69" s="354" t="s">
        <v>430</v>
      </c>
      <c r="B69" s="348"/>
      <c r="C69" s="348"/>
      <c r="D69" s="348"/>
      <c r="E69" s="348"/>
      <c r="F69" s="348"/>
    </row>
    <row r="70" spans="1:6" ht="15">
      <c r="A70" s="354" t="s">
        <v>431</v>
      </c>
      <c r="B70" s="348"/>
      <c r="C70" s="348"/>
      <c r="D70" s="348"/>
      <c r="E70" s="348"/>
      <c r="F70" s="348"/>
    </row>
    <row r="71" ht="15">
      <c r="A71" s="348"/>
    </row>
    <row r="72" ht="15">
      <c r="A72" s="348" t="s">
        <v>351</v>
      </c>
    </row>
    <row r="73" ht="15">
      <c r="A73" s="348"/>
    </row>
    <row r="74" ht="15">
      <c r="A74" s="348"/>
    </row>
    <row r="75" ht="15">
      <c r="A75" s="348"/>
    </row>
    <row r="78" ht="15">
      <c r="A78" s="349"/>
    </row>
    <row r="80" ht="15">
      <c r="A80" s="348"/>
    </row>
    <row r="81" ht="15">
      <c r="A81" s="348"/>
    </row>
    <row r="82" ht="15">
      <c r="A82" s="348"/>
    </row>
    <row r="83" ht="15">
      <c r="A83" s="348"/>
    </row>
    <row r="84" ht="15">
      <c r="A84" s="348"/>
    </row>
    <row r="85" ht="15">
      <c r="A85" s="348"/>
    </row>
    <row r="86" ht="15">
      <c r="A86" s="348"/>
    </row>
    <row r="87" ht="15">
      <c r="A87" s="348"/>
    </row>
    <row r="88" ht="15">
      <c r="A88" s="348"/>
    </row>
    <row r="89" ht="15">
      <c r="A89" s="348"/>
    </row>
    <row r="90" ht="15">
      <c r="A90" s="348"/>
    </row>
    <row r="92" ht="15">
      <c r="A92" s="348"/>
    </row>
    <row r="93" ht="15">
      <c r="A93" s="348"/>
    </row>
    <row r="94" ht="15">
      <c r="A94" s="348"/>
    </row>
    <row r="95" ht="15">
      <c r="A95" s="348"/>
    </row>
    <row r="96" ht="15">
      <c r="A96" s="348"/>
    </row>
    <row r="97" ht="15">
      <c r="A97" s="348"/>
    </row>
    <row r="98" ht="15">
      <c r="A98" s="348"/>
    </row>
    <row r="99" ht="15">
      <c r="A99" s="348"/>
    </row>
    <row r="100" ht="15">
      <c r="A100" s="348"/>
    </row>
    <row r="101" ht="15">
      <c r="A101" s="348"/>
    </row>
    <row r="102" ht="15">
      <c r="A102" s="348"/>
    </row>
    <row r="103" ht="15">
      <c r="A103" s="348"/>
    </row>
    <row r="104" ht="15">
      <c r="A104" s="348"/>
    </row>
    <row r="105" ht="15">
      <c r="A105" s="348"/>
    </row>
    <row r="106" ht="15">
      <c r="A106" s="34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0" sqref="N90"/>
    </sheetView>
  </sheetViews>
  <sheetFormatPr defaultColWidth="8.796875" defaultRowHeight="15"/>
  <cols>
    <col min="1" max="1" width="71.296875" style="0" customWidth="1"/>
  </cols>
  <sheetData>
    <row r="3" spans="1:7" ht="15">
      <c r="A3" s="347" t="s">
        <v>468</v>
      </c>
      <c r="B3" s="347"/>
      <c r="C3" s="347"/>
      <c r="D3" s="347"/>
      <c r="E3" s="347"/>
      <c r="F3" s="347"/>
      <c r="G3" s="347"/>
    </row>
    <row r="4" spans="1:7" ht="15">
      <c r="A4" s="347" t="s">
        <v>469</v>
      </c>
      <c r="B4" s="347"/>
      <c r="C4" s="347"/>
      <c r="D4" s="347"/>
      <c r="E4" s="347"/>
      <c r="F4" s="347"/>
      <c r="G4" s="347"/>
    </row>
    <row r="5" spans="1:7" ht="15">
      <c r="A5" s="347"/>
      <c r="B5" s="347"/>
      <c r="C5" s="347"/>
      <c r="D5" s="347"/>
      <c r="E5" s="347"/>
      <c r="F5" s="347"/>
      <c r="G5" s="347"/>
    </row>
    <row r="6" spans="1:7" ht="15">
      <c r="A6" s="347"/>
      <c r="B6" s="347"/>
      <c r="C6" s="347"/>
      <c r="D6" s="347"/>
      <c r="E6" s="347"/>
      <c r="F6" s="347"/>
      <c r="G6" s="347"/>
    </row>
    <row r="7" ht="15">
      <c r="A7" s="348" t="s">
        <v>307</v>
      </c>
    </row>
    <row r="8" ht="15">
      <c r="A8" s="348" t="str">
        <f>CONCATENATE("estimated ",inputPrYr!D6," 'total expenditures' exceed your ",inputPrYr!D6,"")</f>
        <v>estimated  'total expenditures' exceed your </v>
      </c>
    </row>
    <row r="9" ht="15">
      <c r="A9" s="351" t="s">
        <v>470</v>
      </c>
    </row>
    <row r="10" ht="15">
      <c r="A10" s="348"/>
    </row>
    <row r="11" ht="15">
      <c r="A11" s="348" t="s">
        <v>471</v>
      </c>
    </row>
    <row r="12" ht="15">
      <c r="A12" s="348" t="s">
        <v>472</v>
      </c>
    </row>
    <row r="13" ht="15">
      <c r="A13" s="348" t="s">
        <v>473</v>
      </c>
    </row>
    <row r="14" ht="15">
      <c r="A14" s="348"/>
    </row>
    <row r="15" ht="15">
      <c r="A15" s="349" t="s">
        <v>474</v>
      </c>
    </row>
    <row r="16" spans="1:7" ht="15">
      <c r="A16" s="347"/>
      <c r="B16" s="347"/>
      <c r="C16" s="347"/>
      <c r="D16" s="347"/>
      <c r="E16" s="347"/>
      <c r="F16" s="347"/>
      <c r="G16" s="347"/>
    </row>
    <row r="17" spans="1:8" ht="15">
      <c r="A17" s="352" t="s">
        <v>475</v>
      </c>
      <c r="B17" s="344"/>
      <c r="C17" s="344"/>
      <c r="D17" s="344"/>
      <c r="E17" s="344"/>
      <c r="F17" s="344"/>
      <c r="G17" s="344"/>
      <c r="H17" s="344"/>
    </row>
    <row r="18" spans="1:7" ht="15">
      <c r="A18" s="348" t="s">
        <v>476</v>
      </c>
      <c r="B18" s="353"/>
      <c r="C18" s="353"/>
      <c r="D18" s="353"/>
      <c r="E18" s="353"/>
      <c r="F18" s="353"/>
      <c r="G18" s="353"/>
    </row>
    <row r="19" ht="15">
      <c r="A19" s="348" t="s">
        <v>477</v>
      </c>
    </row>
    <row r="20" ht="15">
      <c r="A20" s="348" t="s">
        <v>478</v>
      </c>
    </row>
    <row r="22" ht="15">
      <c r="A22" s="349" t="s">
        <v>479</v>
      </c>
    </row>
    <row r="24" ht="15">
      <c r="A24" s="348" t="s">
        <v>480</v>
      </c>
    </row>
    <row r="25" ht="15">
      <c r="A25" s="348" t="s">
        <v>481</v>
      </c>
    </row>
    <row r="26" ht="15">
      <c r="A26" s="348" t="s">
        <v>482</v>
      </c>
    </row>
    <row r="28" ht="15">
      <c r="A28" s="349" t="s">
        <v>483</v>
      </c>
    </row>
    <row r="30" ht="15">
      <c r="A30" t="s">
        <v>484</v>
      </c>
    </row>
    <row r="31" ht="15">
      <c r="A31" t="s">
        <v>485</v>
      </c>
    </row>
    <row r="32" ht="15">
      <c r="A32" t="s">
        <v>486</v>
      </c>
    </row>
    <row r="33" ht="15">
      <c r="A33" s="348" t="s">
        <v>487</v>
      </c>
    </row>
    <row r="35" ht="15">
      <c r="A35" t="s">
        <v>488</v>
      </c>
    </row>
    <row r="36" ht="15">
      <c r="A36" t="s">
        <v>489</v>
      </c>
    </row>
    <row r="37" ht="15">
      <c r="A37" t="s">
        <v>490</v>
      </c>
    </row>
    <row r="38" ht="15">
      <c r="A38" t="s">
        <v>491</v>
      </c>
    </row>
    <row r="40" ht="15">
      <c r="A40" t="s">
        <v>492</v>
      </c>
    </row>
    <row r="41" ht="15">
      <c r="A41" t="s">
        <v>493</v>
      </c>
    </row>
    <row r="42" ht="15">
      <c r="A42" t="s">
        <v>494</v>
      </c>
    </row>
    <row r="43" ht="15">
      <c r="A43" t="s">
        <v>495</v>
      </c>
    </row>
    <row r="44" ht="15">
      <c r="A44" t="s">
        <v>496</v>
      </c>
    </row>
    <row r="45" ht="15">
      <c r="A45" t="s">
        <v>497</v>
      </c>
    </row>
    <row r="47" ht="15">
      <c r="A47" t="s">
        <v>498</v>
      </c>
    </row>
    <row r="48" ht="15">
      <c r="A48" t="s">
        <v>499</v>
      </c>
    </row>
    <row r="49" ht="15">
      <c r="A49" s="348" t="s">
        <v>500</v>
      </c>
    </row>
    <row r="50" ht="15">
      <c r="A50" s="348" t="s">
        <v>501</v>
      </c>
    </row>
    <row r="52" ht="15">
      <c r="A52" t="s">
        <v>351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V204" sqref="V204"/>
    </sheetView>
  </sheetViews>
  <sheetFormatPr defaultColWidth="8.796875" defaultRowHeight="15"/>
  <cols>
    <col min="1" max="1" width="7.59765625" style="385"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385" customWidth="1"/>
    <col min="13" max="14" width="8.8984375" style="385" customWidth="1"/>
    <col min="15" max="15" width="9.8984375" style="385" bestFit="1" customWidth="1"/>
    <col min="16" max="16384" width="8.8984375" style="385"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895" t="s">
        <v>710</v>
      </c>
      <c r="C6" s="903"/>
      <c r="D6" s="903"/>
      <c r="E6" s="903"/>
      <c r="F6" s="903"/>
      <c r="G6" s="903"/>
      <c r="H6" s="903"/>
      <c r="I6" s="903"/>
      <c r="J6" s="903"/>
      <c r="K6" s="903"/>
      <c r="L6" s="440"/>
    </row>
    <row r="7" spans="1:12" ht="40.5" customHeight="1">
      <c r="A7" s="437"/>
      <c r="B7" s="915" t="s">
        <v>532</v>
      </c>
      <c r="C7" s="916"/>
      <c r="D7" s="916"/>
      <c r="E7" s="916"/>
      <c r="F7" s="916"/>
      <c r="G7" s="916"/>
      <c r="H7" s="916"/>
      <c r="I7" s="916"/>
      <c r="J7" s="916"/>
      <c r="K7" s="916"/>
      <c r="L7" s="437"/>
    </row>
    <row r="8" spans="1:12" ht="14.25">
      <c r="A8" s="437"/>
      <c r="B8" s="912" t="s">
        <v>533</v>
      </c>
      <c r="C8" s="912"/>
      <c r="D8" s="912"/>
      <c r="E8" s="912"/>
      <c r="F8" s="912"/>
      <c r="G8" s="912"/>
      <c r="H8" s="912"/>
      <c r="I8" s="912"/>
      <c r="J8" s="912"/>
      <c r="K8" s="912"/>
      <c r="L8" s="437"/>
    </row>
    <row r="9" spans="1:12" ht="14.25">
      <c r="A9" s="437"/>
      <c r="L9" s="437"/>
    </row>
    <row r="10" spans="1:12" ht="14.25">
      <c r="A10" s="437"/>
      <c r="B10" s="912" t="s">
        <v>534</v>
      </c>
      <c r="C10" s="912"/>
      <c r="D10" s="912"/>
      <c r="E10" s="912"/>
      <c r="F10" s="912"/>
      <c r="G10" s="912"/>
      <c r="H10" s="912"/>
      <c r="I10" s="912"/>
      <c r="J10" s="912"/>
      <c r="K10" s="912"/>
      <c r="L10" s="437"/>
    </row>
    <row r="11" spans="1:12" ht="14.25">
      <c r="A11" s="437"/>
      <c r="B11" s="441"/>
      <c r="C11" s="441"/>
      <c r="D11" s="441"/>
      <c r="E11" s="441"/>
      <c r="F11" s="441"/>
      <c r="G11" s="441"/>
      <c r="H11" s="441"/>
      <c r="I11" s="441"/>
      <c r="J11" s="441"/>
      <c r="K11" s="441"/>
      <c r="L11" s="437"/>
    </row>
    <row r="12" spans="1:12" ht="32.25" customHeight="1">
      <c r="A12" s="437"/>
      <c r="B12" s="896" t="s">
        <v>535</v>
      </c>
      <c r="C12" s="896"/>
      <c r="D12" s="896"/>
      <c r="E12" s="896"/>
      <c r="F12" s="896"/>
      <c r="G12" s="896"/>
      <c r="H12" s="896"/>
      <c r="I12" s="896"/>
      <c r="J12" s="896"/>
      <c r="K12" s="896"/>
      <c r="L12" s="437"/>
    </row>
    <row r="13" spans="1:12" ht="14.25">
      <c r="A13" s="437"/>
      <c r="L13" s="437"/>
    </row>
    <row r="14" spans="1:12" ht="14.25">
      <c r="A14" s="437"/>
      <c r="B14" s="442" t="s">
        <v>536</v>
      </c>
      <c r="L14" s="437"/>
    </row>
    <row r="15" spans="1:12" ht="14.25">
      <c r="A15" s="437"/>
      <c r="L15" s="437"/>
    </row>
    <row r="16" spans="1:12" ht="14.25">
      <c r="A16" s="437"/>
      <c r="B16" s="438" t="s">
        <v>537</v>
      </c>
      <c r="L16" s="437"/>
    </row>
    <row r="17" spans="1:12" ht="14.25">
      <c r="A17" s="437"/>
      <c r="B17" s="438" t="s">
        <v>538</v>
      </c>
      <c r="L17" s="437"/>
    </row>
    <row r="18" spans="1:12" ht="14.25">
      <c r="A18" s="437"/>
      <c r="L18" s="437"/>
    </row>
    <row r="19" spans="1:12" ht="14.25">
      <c r="A19" s="437"/>
      <c r="B19" s="442" t="s">
        <v>623</v>
      </c>
      <c r="L19" s="437"/>
    </row>
    <row r="20" spans="1:12" ht="14.25">
      <c r="A20" s="437"/>
      <c r="B20" s="442"/>
      <c r="L20" s="437"/>
    </row>
    <row r="21" spans="1:12" ht="14.25">
      <c r="A21" s="437"/>
      <c r="B21" s="438" t="s">
        <v>624</v>
      </c>
      <c r="L21" s="437"/>
    </row>
    <row r="22" spans="1:12" ht="14.25">
      <c r="A22" s="437"/>
      <c r="L22" s="437"/>
    </row>
    <row r="23" spans="1:12" ht="14.25">
      <c r="A23" s="437"/>
      <c r="B23" s="438" t="s">
        <v>539</v>
      </c>
      <c r="E23" s="438" t="s">
        <v>540</v>
      </c>
      <c r="F23" s="898">
        <v>312000000</v>
      </c>
      <c r="G23" s="898"/>
      <c r="L23" s="437"/>
    </row>
    <row r="24" spans="1:12" ht="14.25">
      <c r="A24" s="437"/>
      <c r="L24" s="437"/>
    </row>
    <row r="25" spans="1:12" ht="14.25">
      <c r="A25" s="437"/>
      <c r="C25" s="913">
        <f>F23</f>
        <v>312000000</v>
      </c>
      <c r="D25" s="913"/>
      <c r="E25" s="438" t="s">
        <v>541</v>
      </c>
      <c r="F25" s="444">
        <v>1000</v>
      </c>
      <c r="G25" s="444" t="s">
        <v>540</v>
      </c>
      <c r="H25" s="674">
        <f>F23/F25</f>
        <v>312000</v>
      </c>
      <c r="L25" s="437"/>
    </row>
    <row r="26" spans="1:12" ht="15" thickBot="1">
      <c r="A26" s="437"/>
      <c r="L26" s="437"/>
    </row>
    <row r="27" spans="1:12" ht="14.25">
      <c r="A27" s="437"/>
      <c r="B27" s="445" t="s">
        <v>536</v>
      </c>
      <c r="C27" s="446"/>
      <c r="D27" s="446"/>
      <c r="E27" s="446"/>
      <c r="F27" s="446"/>
      <c r="G27" s="446"/>
      <c r="H27" s="446"/>
      <c r="I27" s="446"/>
      <c r="J27" s="446"/>
      <c r="K27" s="447"/>
      <c r="L27" s="437"/>
    </row>
    <row r="28" spans="1:12" ht="14.25">
      <c r="A28" s="437"/>
      <c r="B28" s="448">
        <f>F23</f>
        <v>312000000</v>
      </c>
      <c r="C28" s="449" t="s">
        <v>542</v>
      </c>
      <c r="D28" s="449"/>
      <c r="E28" s="449" t="s">
        <v>541</v>
      </c>
      <c r="F28" s="450">
        <v>1000</v>
      </c>
      <c r="G28" s="450" t="s">
        <v>540</v>
      </c>
      <c r="H28" s="675">
        <f>B28/F28</f>
        <v>312000</v>
      </c>
      <c r="I28" s="449" t="s">
        <v>543</v>
      </c>
      <c r="J28" s="449"/>
      <c r="K28" s="451"/>
      <c r="L28" s="437"/>
    </row>
    <row r="29" spans="1:12" ht="15" thickBot="1">
      <c r="A29" s="437"/>
      <c r="B29" s="452"/>
      <c r="C29" s="453"/>
      <c r="D29" s="453"/>
      <c r="E29" s="453"/>
      <c r="F29" s="453"/>
      <c r="G29" s="453"/>
      <c r="H29" s="453"/>
      <c r="I29" s="453"/>
      <c r="J29" s="453"/>
      <c r="K29" s="454"/>
      <c r="L29" s="437"/>
    </row>
    <row r="30" spans="1:12" ht="40.5" customHeight="1">
      <c r="A30" s="437"/>
      <c r="B30" s="900" t="s">
        <v>532</v>
      </c>
      <c r="C30" s="900"/>
      <c r="D30" s="900"/>
      <c r="E30" s="900"/>
      <c r="F30" s="900"/>
      <c r="G30" s="900"/>
      <c r="H30" s="900"/>
      <c r="I30" s="900"/>
      <c r="J30" s="900"/>
      <c r="K30" s="900"/>
      <c r="L30" s="437"/>
    </row>
    <row r="31" spans="1:12" ht="14.25">
      <c r="A31" s="437"/>
      <c r="B31" s="912" t="s">
        <v>544</v>
      </c>
      <c r="C31" s="912"/>
      <c r="D31" s="912"/>
      <c r="E31" s="912"/>
      <c r="F31" s="912"/>
      <c r="G31" s="912"/>
      <c r="H31" s="912"/>
      <c r="I31" s="912"/>
      <c r="J31" s="912"/>
      <c r="K31" s="912"/>
      <c r="L31" s="437"/>
    </row>
    <row r="32" spans="1:12" ht="14.25">
      <c r="A32" s="437"/>
      <c r="L32" s="437"/>
    </row>
    <row r="33" spans="1:12" ht="14.25">
      <c r="A33" s="437"/>
      <c r="B33" s="912" t="s">
        <v>545</v>
      </c>
      <c r="C33" s="912"/>
      <c r="D33" s="912"/>
      <c r="E33" s="912"/>
      <c r="F33" s="912"/>
      <c r="G33" s="912"/>
      <c r="H33" s="912"/>
      <c r="I33" s="912"/>
      <c r="J33" s="912"/>
      <c r="K33" s="912"/>
      <c r="L33" s="437"/>
    </row>
    <row r="34" spans="1:12" ht="14.25">
      <c r="A34" s="437"/>
      <c r="L34" s="437"/>
    </row>
    <row r="35" spans="1:12" ht="89.25" customHeight="1">
      <c r="A35" s="437"/>
      <c r="B35" s="896" t="s">
        <v>546</v>
      </c>
      <c r="C35" s="906"/>
      <c r="D35" s="906"/>
      <c r="E35" s="906"/>
      <c r="F35" s="906"/>
      <c r="G35" s="906"/>
      <c r="H35" s="906"/>
      <c r="I35" s="906"/>
      <c r="J35" s="906"/>
      <c r="K35" s="906"/>
      <c r="L35" s="437"/>
    </row>
    <row r="36" spans="1:12" ht="14.25">
      <c r="A36" s="437"/>
      <c r="L36" s="437"/>
    </row>
    <row r="37" spans="1:12" ht="14.25">
      <c r="A37" s="437"/>
      <c r="B37" s="442" t="s">
        <v>547</v>
      </c>
      <c r="L37" s="437"/>
    </row>
    <row r="38" spans="1:12" ht="14.25">
      <c r="A38" s="437"/>
      <c r="L38" s="437"/>
    </row>
    <row r="39" spans="1:12" ht="14.25">
      <c r="A39" s="437"/>
      <c r="B39" s="438" t="s">
        <v>548</v>
      </c>
      <c r="L39" s="437"/>
    </row>
    <row r="40" spans="1:12" ht="14.25">
      <c r="A40" s="437"/>
      <c r="L40" s="437"/>
    </row>
    <row r="41" spans="1:12" ht="14.25">
      <c r="A41" s="437"/>
      <c r="C41" s="914">
        <v>312000000</v>
      </c>
      <c r="D41" s="914"/>
      <c r="E41" s="438" t="s">
        <v>541</v>
      </c>
      <c r="F41" s="444">
        <v>1000</v>
      </c>
      <c r="G41" s="444" t="s">
        <v>540</v>
      </c>
      <c r="H41" s="676">
        <f>C41/F41</f>
        <v>312000</v>
      </c>
      <c r="L41" s="437"/>
    </row>
    <row r="42" spans="1:12" ht="14.25">
      <c r="A42" s="437"/>
      <c r="L42" s="437"/>
    </row>
    <row r="43" spans="1:12" ht="14.25">
      <c r="A43" s="437"/>
      <c r="B43" s="438" t="s">
        <v>549</v>
      </c>
      <c r="L43" s="437"/>
    </row>
    <row r="44" spans="1:12" ht="14.25">
      <c r="A44" s="437"/>
      <c r="L44" s="437"/>
    </row>
    <row r="45" spans="1:12" ht="14.25">
      <c r="A45" s="437"/>
      <c r="B45" s="438" t="s">
        <v>550</v>
      </c>
      <c r="L45" s="437"/>
    </row>
    <row r="46" spans="1:12" ht="15" thickBot="1">
      <c r="A46" s="437"/>
      <c r="L46" s="437"/>
    </row>
    <row r="47" spans="1:12" ht="14.25">
      <c r="A47" s="437"/>
      <c r="B47" s="455" t="s">
        <v>536</v>
      </c>
      <c r="C47" s="446"/>
      <c r="D47" s="446"/>
      <c r="E47" s="446"/>
      <c r="F47" s="446"/>
      <c r="G47" s="446"/>
      <c r="H47" s="446"/>
      <c r="I47" s="446"/>
      <c r="J47" s="446"/>
      <c r="K47" s="447"/>
      <c r="L47" s="437"/>
    </row>
    <row r="48" spans="1:12" ht="14.25">
      <c r="A48" s="437"/>
      <c r="B48" s="907">
        <v>312000000</v>
      </c>
      <c r="C48" s="898"/>
      <c r="D48" s="449" t="s">
        <v>551</v>
      </c>
      <c r="E48" s="449" t="s">
        <v>541</v>
      </c>
      <c r="F48" s="450">
        <v>1000</v>
      </c>
      <c r="G48" s="450" t="s">
        <v>540</v>
      </c>
      <c r="H48" s="675">
        <f>B48/F48</f>
        <v>312000</v>
      </c>
      <c r="I48" s="449" t="s">
        <v>552</v>
      </c>
      <c r="J48" s="449"/>
      <c r="K48" s="451"/>
      <c r="L48" s="437"/>
    </row>
    <row r="49" spans="1:12" ht="14.25">
      <c r="A49" s="437"/>
      <c r="B49" s="457"/>
      <c r="C49" s="449"/>
      <c r="D49" s="449"/>
      <c r="E49" s="449"/>
      <c r="F49" s="449"/>
      <c r="G49" s="449"/>
      <c r="H49" s="449"/>
      <c r="I49" s="449"/>
      <c r="J49" s="449"/>
      <c r="K49" s="451"/>
      <c r="L49" s="437"/>
    </row>
    <row r="50" spans="1:12" ht="14.25">
      <c r="A50" s="437"/>
      <c r="B50" s="456">
        <v>50000</v>
      </c>
      <c r="C50" s="449" t="s">
        <v>553</v>
      </c>
      <c r="D50" s="449"/>
      <c r="E50" s="449" t="s">
        <v>541</v>
      </c>
      <c r="F50" s="675">
        <f>H48</f>
        <v>312000</v>
      </c>
      <c r="G50" s="908" t="s">
        <v>554</v>
      </c>
      <c r="H50" s="909"/>
      <c r="I50" s="450" t="s">
        <v>540</v>
      </c>
      <c r="J50" s="459">
        <f>B50/F50</f>
        <v>0.16025641025641027</v>
      </c>
      <c r="K50" s="451"/>
      <c r="L50" s="437"/>
    </row>
    <row r="51" spans="1:15" ht="15" thickBot="1">
      <c r="A51" s="437"/>
      <c r="B51" s="452"/>
      <c r="C51" s="453"/>
      <c r="D51" s="453"/>
      <c r="E51" s="453"/>
      <c r="F51" s="453"/>
      <c r="G51" s="453"/>
      <c r="H51" s="453"/>
      <c r="I51" s="910" t="s">
        <v>555</v>
      </c>
      <c r="J51" s="910"/>
      <c r="K51" s="911"/>
      <c r="L51" s="437"/>
      <c r="O51" s="386"/>
    </row>
    <row r="52" spans="1:12" ht="40.5" customHeight="1">
      <c r="A52" s="437"/>
      <c r="B52" s="900" t="s">
        <v>532</v>
      </c>
      <c r="C52" s="900"/>
      <c r="D52" s="900"/>
      <c r="E52" s="900"/>
      <c r="F52" s="900"/>
      <c r="G52" s="900"/>
      <c r="H52" s="900"/>
      <c r="I52" s="900"/>
      <c r="J52" s="900"/>
      <c r="K52" s="900"/>
      <c r="L52" s="437"/>
    </row>
    <row r="53" spans="1:12" ht="14.25">
      <c r="A53" s="437"/>
      <c r="B53" s="912" t="s">
        <v>556</v>
      </c>
      <c r="C53" s="912"/>
      <c r="D53" s="912"/>
      <c r="E53" s="912"/>
      <c r="F53" s="912"/>
      <c r="G53" s="912"/>
      <c r="H53" s="912"/>
      <c r="I53" s="912"/>
      <c r="J53" s="912"/>
      <c r="K53" s="912"/>
      <c r="L53" s="437"/>
    </row>
    <row r="54" spans="1:12" ht="14.25">
      <c r="A54" s="437"/>
      <c r="B54" s="441"/>
      <c r="C54" s="441"/>
      <c r="D54" s="441"/>
      <c r="E54" s="441"/>
      <c r="F54" s="441"/>
      <c r="G54" s="441"/>
      <c r="H54" s="441"/>
      <c r="I54" s="441"/>
      <c r="J54" s="441"/>
      <c r="K54" s="441"/>
      <c r="L54" s="437"/>
    </row>
    <row r="55" spans="1:12" ht="14.25">
      <c r="A55" s="437"/>
      <c r="B55" s="895" t="s">
        <v>557</v>
      </c>
      <c r="C55" s="895"/>
      <c r="D55" s="895"/>
      <c r="E55" s="895"/>
      <c r="F55" s="895"/>
      <c r="G55" s="895"/>
      <c r="H55" s="895"/>
      <c r="I55" s="895"/>
      <c r="J55" s="895"/>
      <c r="K55" s="895"/>
      <c r="L55" s="437"/>
    </row>
    <row r="56" spans="1:12" ht="15" customHeight="1">
      <c r="A56" s="437"/>
      <c r="L56" s="437"/>
    </row>
    <row r="57" spans="1:24" ht="74.25" customHeight="1">
      <c r="A57" s="437"/>
      <c r="B57" s="896" t="s">
        <v>558</v>
      </c>
      <c r="C57" s="906"/>
      <c r="D57" s="906"/>
      <c r="E57" s="906"/>
      <c r="F57" s="906"/>
      <c r="G57" s="906"/>
      <c r="H57" s="906"/>
      <c r="I57" s="906"/>
      <c r="J57" s="906"/>
      <c r="K57" s="906"/>
      <c r="L57" s="437"/>
      <c r="M57" s="461"/>
      <c r="N57" s="387"/>
      <c r="O57" s="387"/>
      <c r="P57" s="387"/>
      <c r="Q57" s="387"/>
      <c r="R57" s="387"/>
      <c r="S57" s="387"/>
      <c r="T57" s="387"/>
      <c r="U57" s="387"/>
      <c r="V57" s="387"/>
      <c r="W57" s="387"/>
      <c r="X57" s="387"/>
    </row>
    <row r="58" spans="1:24" ht="15" customHeight="1">
      <c r="A58" s="437"/>
      <c r="B58" s="896"/>
      <c r="C58" s="906"/>
      <c r="D58" s="906"/>
      <c r="E58" s="906"/>
      <c r="F58" s="906"/>
      <c r="G58" s="906"/>
      <c r="H58" s="906"/>
      <c r="I58" s="906"/>
      <c r="J58" s="906"/>
      <c r="K58" s="906"/>
      <c r="L58" s="437"/>
      <c r="M58" s="461"/>
      <c r="N58" s="387"/>
      <c r="O58" s="387"/>
      <c r="P58" s="387"/>
      <c r="Q58" s="387"/>
      <c r="R58" s="387"/>
      <c r="S58" s="387"/>
      <c r="T58" s="387"/>
      <c r="U58" s="387"/>
      <c r="V58" s="387"/>
      <c r="W58" s="387"/>
      <c r="X58" s="387"/>
    </row>
    <row r="59" spans="1:24" ht="14.25">
      <c r="A59" s="437"/>
      <c r="B59" s="442" t="s">
        <v>547</v>
      </c>
      <c r="L59" s="437"/>
      <c r="M59" s="387"/>
      <c r="N59" s="387"/>
      <c r="O59" s="387"/>
      <c r="P59" s="387"/>
      <c r="Q59" s="387"/>
      <c r="R59" s="387"/>
      <c r="S59" s="387"/>
      <c r="T59" s="387"/>
      <c r="U59" s="387"/>
      <c r="V59" s="387"/>
      <c r="W59" s="387"/>
      <c r="X59" s="387"/>
    </row>
    <row r="60" spans="1:24" ht="14.25">
      <c r="A60" s="437"/>
      <c r="L60" s="437"/>
      <c r="M60" s="387"/>
      <c r="N60" s="387"/>
      <c r="O60" s="387"/>
      <c r="P60" s="387"/>
      <c r="Q60" s="387"/>
      <c r="R60" s="387"/>
      <c r="S60" s="387"/>
      <c r="T60" s="387"/>
      <c r="U60" s="387"/>
      <c r="V60" s="387"/>
      <c r="W60" s="387"/>
      <c r="X60" s="387"/>
    </row>
    <row r="61" spans="1:24" ht="14.25">
      <c r="A61" s="437"/>
      <c r="B61" s="438" t="s">
        <v>559</v>
      </c>
      <c r="L61" s="437"/>
      <c r="M61" s="387"/>
      <c r="N61" s="387"/>
      <c r="O61" s="387"/>
      <c r="P61" s="387"/>
      <c r="Q61" s="387"/>
      <c r="R61" s="387"/>
      <c r="S61" s="387"/>
      <c r="T61" s="387"/>
      <c r="U61" s="387"/>
      <c r="V61" s="387"/>
      <c r="W61" s="387"/>
      <c r="X61" s="387"/>
    </row>
    <row r="62" spans="1:24" ht="14.25">
      <c r="A62" s="437"/>
      <c r="B62" s="438" t="s">
        <v>625</v>
      </c>
      <c r="L62" s="437"/>
      <c r="M62" s="387"/>
      <c r="N62" s="387"/>
      <c r="O62" s="387"/>
      <c r="P62" s="387"/>
      <c r="Q62" s="387"/>
      <c r="R62" s="387"/>
      <c r="S62" s="387"/>
      <c r="T62" s="387"/>
      <c r="U62" s="387"/>
      <c r="V62" s="387"/>
      <c r="W62" s="387"/>
      <c r="X62" s="387"/>
    </row>
    <row r="63" spans="1:24" ht="14.25">
      <c r="A63" s="437"/>
      <c r="B63" s="438" t="s">
        <v>626</v>
      </c>
      <c r="L63" s="437"/>
      <c r="M63" s="387"/>
      <c r="N63" s="387"/>
      <c r="O63" s="387"/>
      <c r="P63" s="387"/>
      <c r="Q63" s="387"/>
      <c r="R63" s="387"/>
      <c r="S63" s="387"/>
      <c r="T63" s="387"/>
      <c r="U63" s="387"/>
      <c r="V63" s="387"/>
      <c r="W63" s="387"/>
      <c r="X63" s="387"/>
    </row>
    <row r="64" spans="1:24" ht="14.25">
      <c r="A64" s="437"/>
      <c r="L64" s="437"/>
      <c r="M64" s="387"/>
      <c r="N64" s="387"/>
      <c r="O64" s="387"/>
      <c r="P64" s="387"/>
      <c r="Q64" s="387"/>
      <c r="R64" s="387"/>
      <c r="S64" s="387"/>
      <c r="T64" s="387"/>
      <c r="U64" s="387"/>
      <c r="V64" s="387"/>
      <c r="W64" s="387"/>
      <c r="X64" s="387"/>
    </row>
    <row r="65" spans="1:24" ht="14.25">
      <c r="A65" s="437"/>
      <c r="B65" s="438" t="s">
        <v>560</v>
      </c>
      <c r="L65" s="437"/>
      <c r="M65" s="387"/>
      <c r="N65" s="387"/>
      <c r="O65" s="387"/>
      <c r="P65" s="387"/>
      <c r="Q65" s="387"/>
      <c r="R65" s="387"/>
      <c r="S65" s="387"/>
      <c r="T65" s="387"/>
      <c r="U65" s="387"/>
      <c r="V65" s="387"/>
      <c r="W65" s="387"/>
      <c r="X65" s="387"/>
    </row>
    <row r="66" spans="1:24" ht="14.25">
      <c r="A66" s="437"/>
      <c r="B66" s="438" t="s">
        <v>561</v>
      </c>
      <c r="L66" s="437"/>
      <c r="M66" s="387"/>
      <c r="N66" s="387"/>
      <c r="O66" s="387"/>
      <c r="P66" s="387"/>
      <c r="Q66" s="387"/>
      <c r="R66" s="387"/>
      <c r="S66" s="387"/>
      <c r="T66" s="387"/>
      <c r="U66" s="387"/>
      <c r="V66" s="387"/>
      <c r="W66" s="387"/>
      <c r="X66" s="387"/>
    </row>
    <row r="67" spans="1:24" ht="14.25">
      <c r="A67" s="437"/>
      <c r="L67" s="437"/>
      <c r="M67" s="387"/>
      <c r="N67" s="387"/>
      <c r="O67" s="387"/>
      <c r="P67" s="387"/>
      <c r="Q67" s="387"/>
      <c r="R67" s="387"/>
      <c r="S67" s="387"/>
      <c r="T67" s="387"/>
      <c r="U67" s="387"/>
      <c r="V67" s="387"/>
      <c r="W67" s="387"/>
      <c r="X67" s="387"/>
    </row>
    <row r="68" spans="1:24" ht="14.25">
      <c r="A68" s="437"/>
      <c r="B68" s="438" t="s">
        <v>562</v>
      </c>
      <c r="L68" s="437"/>
      <c r="M68" s="462"/>
      <c r="N68" s="388"/>
      <c r="O68" s="388"/>
      <c r="P68" s="388"/>
      <c r="Q68" s="388"/>
      <c r="R68" s="388"/>
      <c r="S68" s="388"/>
      <c r="T68" s="388"/>
      <c r="U68" s="388"/>
      <c r="V68" s="388"/>
      <c r="W68" s="388"/>
      <c r="X68" s="387"/>
    </row>
    <row r="69" spans="1:24" ht="14.25">
      <c r="A69" s="437"/>
      <c r="B69" s="438" t="s">
        <v>627</v>
      </c>
      <c r="L69" s="437"/>
      <c r="M69" s="387"/>
      <c r="N69" s="387"/>
      <c r="O69" s="387"/>
      <c r="P69" s="387"/>
      <c r="Q69" s="387"/>
      <c r="R69" s="387"/>
      <c r="S69" s="387"/>
      <c r="T69" s="387"/>
      <c r="U69" s="387"/>
      <c r="V69" s="387"/>
      <c r="W69" s="387"/>
      <c r="X69" s="387"/>
    </row>
    <row r="70" spans="1:24" ht="14.25">
      <c r="A70" s="437"/>
      <c r="B70" s="438" t="s">
        <v>628</v>
      </c>
      <c r="L70" s="437"/>
      <c r="M70" s="387"/>
      <c r="N70" s="387"/>
      <c r="O70" s="387"/>
      <c r="P70" s="387"/>
      <c r="Q70" s="387"/>
      <c r="R70" s="387"/>
      <c r="S70" s="387"/>
      <c r="T70" s="387"/>
      <c r="U70" s="387"/>
      <c r="V70" s="387"/>
      <c r="W70" s="387"/>
      <c r="X70" s="387"/>
    </row>
    <row r="71" spans="1:12" ht="15" thickBot="1">
      <c r="A71" s="437"/>
      <c r="B71" s="449"/>
      <c r="C71" s="449"/>
      <c r="D71" s="449"/>
      <c r="E71" s="449"/>
      <c r="F71" s="449"/>
      <c r="G71" s="449"/>
      <c r="H71" s="449"/>
      <c r="I71" s="449"/>
      <c r="J71" s="449"/>
      <c r="K71" s="449"/>
      <c r="L71" s="437"/>
    </row>
    <row r="72" spans="1:12" ht="14.25">
      <c r="A72" s="437"/>
      <c r="B72" s="445" t="s">
        <v>536</v>
      </c>
      <c r="C72" s="446"/>
      <c r="D72" s="446"/>
      <c r="E72" s="446"/>
      <c r="F72" s="446"/>
      <c r="G72" s="446"/>
      <c r="H72" s="446"/>
      <c r="I72" s="446"/>
      <c r="J72" s="446"/>
      <c r="K72" s="447"/>
      <c r="L72" s="463"/>
    </row>
    <row r="73" spans="1:12" ht="14.25">
      <c r="A73" s="437"/>
      <c r="B73" s="457"/>
      <c r="C73" s="449" t="s">
        <v>542</v>
      </c>
      <c r="D73" s="449"/>
      <c r="E73" s="449"/>
      <c r="F73" s="449"/>
      <c r="G73" s="449"/>
      <c r="H73" s="449"/>
      <c r="I73" s="449"/>
      <c r="J73" s="449"/>
      <c r="K73" s="451"/>
      <c r="L73" s="463"/>
    </row>
    <row r="74" spans="1:12" ht="14.25">
      <c r="A74" s="437"/>
      <c r="B74" s="457" t="s">
        <v>563</v>
      </c>
      <c r="C74" s="898">
        <v>312000000</v>
      </c>
      <c r="D74" s="898"/>
      <c r="E74" s="450" t="s">
        <v>541</v>
      </c>
      <c r="F74" s="450">
        <v>1000</v>
      </c>
      <c r="G74" s="450" t="s">
        <v>540</v>
      </c>
      <c r="H74" s="469">
        <f>C74/F74</f>
        <v>312000</v>
      </c>
      <c r="I74" s="449" t="s">
        <v>564</v>
      </c>
      <c r="J74" s="449"/>
      <c r="K74" s="451"/>
      <c r="L74" s="463"/>
    </row>
    <row r="75" spans="1:12" ht="14.25">
      <c r="A75" s="437"/>
      <c r="B75" s="457"/>
      <c r="C75" s="449"/>
      <c r="D75" s="449"/>
      <c r="E75" s="450"/>
      <c r="F75" s="449"/>
      <c r="G75" s="449"/>
      <c r="H75" s="449"/>
      <c r="I75" s="449"/>
      <c r="J75" s="449"/>
      <c r="K75" s="451"/>
      <c r="L75" s="463"/>
    </row>
    <row r="76" spans="1:12" ht="14.25">
      <c r="A76" s="437"/>
      <c r="B76" s="457"/>
      <c r="C76" s="449" t="s">
        <v>565</v>
      </c>
      <c r="D76" s="449"/>
      <c r="E76" s="450"/>
      <c r="F76" s="449" t="s">
        <v>564</v>
      </c>
      <c r="G76" s="449"/>
      <c r="H76" s="449"/>
      <c r="I76" s="449"/>
      <c r="J76" s="449"/>
      <c r="K76" s="451"/>
      <c r="L76" s="463"/>
    </row>
    <row r="77" spans="1:12" ht="14.25">
      <c r="A77" s="437"/>
      <c r="B77" s="457" t="s">
        <v>566</v>
      </c>
      <c r="C77" s="898">
        <v>50000</v>
      </c>
      <c r="D77" s="898"/>
      <c r="E77" s="450" t="s">
        <v>541</v>
      </c>
      <c r="F77" s="469">
        <f>H74</f>
        <v>312000</v>
      </c>
      <c r="G77" s="450" t="s">
        <v>540</v>
      </c>
      <c r="H77" s="459">
        <f>C77/F77</f>
        <v>0.16025641025641027</v>
      </c>
      <c r="I77" s="449" t="s">
        <v>567</v>
      </c>
      <c r="J77" s="449"/>
      <c r="K77" s="451"/>
      <c r="L77" s="463"/>
    </row>
    <row r="78" spans="1:12" ht="14.25">
      <c r="A78" s="437"/>
      <c r="B78" s="457"/>
      <c r="C78" s="449"/>
      <c r="D78" s="449"/>
      <c r="E78" s="450"/>
      <c r="F78" s="449"/>
      <c r="G78" s="449"/>
      <c r="H78" s="449"/>
      <c r="I78" s="449"/>
      <c r="J78" s="449"/>
      <c r="K78" s="451"/>
      <c r="L78" s="463"/>
    </row>
    <row r="79" spans="1:12" ht="14.25">
      <c r="A79" s="437"/>
      <c r="B79" s="465"/>
      <c r="C79" s="466" t="s">
        <v>568</v>
      </c>
      <c r="D79" s="466"/>
      <c r="E79" s="467"/>
      <c r="F79" s="466"/>
      <c r="G79" s="466"/>
      <c r="H79" s="466"/>
      <c r="I79" s="466"/>
      <c r="J79" s="466"/>
      <c r="K79" s="468"/>
      <c r="L79" s="463"/>
    </row>
    <row r="80" spans="1:12" ht="14.25">
      <c r="A80" s="437"/>
      <c r="B80" s="457" t="s">
        <v>569</v>
      </c>
      <c r="C80" s="898">
        <v>100000</v>
      </c>
      <c r="D80" s="898"/>
      <c r="E80" s="450" t="s">
        <v>26</v>
      </c>
      <c r="F80" s="450">
        <v>0.115</v>
      </c>
      <c r="G80" s="450" t="s">
        <v>540</v>
      </c>
      <c r="H80" s="464">
        <f>C80*F80</f>
        <v>11500</v>
      </c>
      <c r="I80" s="449" t="s">
        <v>570</v>
      </c>
      <c r="J80" s="449"/>
      <c r="K80" s="451"/>
      <c r="L80" s="463"/>
    </row>
    <row r="81" spans="1:12" ht="14.25">
      <c r="A81" s="437"/>
      <c r="B81" s="457"/>
      <c r="C81" s="449"/>
      <c r="D81" s="449"/>
      <c r="E81" s="450"/>
      <c r="F81" s="449"/>
      <c r="G81" s="449"/>
      <c r="H81" s="449"/>
      <c r="I81" s="449"/>
      <c r="J81" s="449"/>
      <c r="K81" s="451"/>
      <c r="L81" s="463"/>
    </row>
    <row r="82" spans="1:12" ht="14.25">
      <c r="A82" s="437"/>
      <c r="B82" s="465"/>
      <c r="C82" s="466" t="s">
        <v>571</v>
      </c>
      <c r="D82" s="466"/>
      <c r="E82" s="467"/>
      <c r="F82" s="466" t="s">
        <v>567</v>
      </c>
      <c r="G82" s="466"/>
      <c r="H82" s="466"/>
      <c r="I82" s="466"/>
      <c r="J82" s="466" t="s">
        <v>572</v>
      </c>
      <c r="K82" s="468"/>
      <c r="L82" s="463"/>
    </row>
    <row r="83" spans="1:12" ht="14.25">
      <c r="A83" s="437"/>
      <c r="B83" s="457" t="s">
        <v>573</v>
      </c>
      <c r="C83" s="899">
        <f>H80</f>
        <v>11500</v>
      </c>
      <c r="D83" s="899"/>
      <c r="E83" s="450" t="s">
        <v>26</v>
      </c>
      <c r="F83" s="459">
        <f>H77</f>
        <v>0.16025641025641027</v>
      </c>
      <c r="G83" s="450" t="s">
        <v>541</v>
      </c>
      <c r="H83" s="450">
        <v>1000</v>
      </c>
      <c r="I83" s="450" t="s">
        <v>540</v>
      </c>
      <c r="J83" s="469">
        <f>C83*F83/H83</f>
        <v>1.842948717948718</v>
      </c>
      <c r="K83" s="451"/>
      <c r="L83" s="463"/>
    </row>
    <row r="84" spans="1:12" ht="15" thickBot="1">
      <c r="A84" s="437"/>
      <c r="B84" s="452"/>
      <c r="C84" s="470"/>
      <c r="D84" s="470"/>
      <c r="E84" s="471"/>
      <c r="F84" s="472"/>
      <c r="G84" s="471"/>
      <c r="H84" s="471"/>
      <c r="I84" s="471"/>
      <c r="J84" s="473"/>
      <c r="K84" s="454"/>
      <c r="L84" s="463"/>
    </row>
    <row r="85" spans="1:12" ht="40.5" customHeight="1">
      <c r="A85" s="437"/>
      <c r="B85" s="900" t="s">
        <v>532</v>
      </c>
      <c r="C85" s="900"/>
      <c r="D85" s="900"/>
      <c r="E85" s="900"/>
      <c r="F85" s="900"/>
      <c r="G85" s="900"/>
      <c r="H85" s="900"/>
      <c r="I85" s="900"/>
      <c r="J85" s="900"/>
      <c r="K85" s="900"/>
      <c r="L85" s="437"/>
    </row>
    <row r="86" spans="1:12" ht="14.25">
      <c r="A86" s="437"/>
      <c r="B86" s="895" t="s">
        <v>574</v>
      </c>
      <c r="C86" s="895"/>
      <c r="D86" s="895"/>
      <c r="E86" s="895"/>
      <c r="F86" s="895"/>
      <c r="G86" s="895"/>
      <c r="H86" s="895"/>
      <c r="I86" s="895"/>
      <c r="J86" s="895"/>
      <c r="K86" s="895"/>
      <c r="L86" s="437"/>
    </row>
    <row r="87" spans="1:12" ht="14.25">
      <c r="A87" s="437"/>
      <c r="B87" s="474"/>
      <c r="C87" s="474"/>
      <c r="D87" s="474"/>
      <c r="E87" s="474"/>
      <c r="F87" s="474"/>
      <c r="G87" s="474"/>
      <c r="H87" s="474"/>
      <c r="I87" s="474"/>
      <c r="J87" s="474"/>
      <c r="K87" s="474"/>
      <c r="L87" s="437"/>
    </row>
    <row r="88" spans="1:12" ht="14.25">
      <c r="A88" s="437"/>
      <c r="B88" s="895" t="s">
        <v>575</v>
      </c>
      <c r="C88" s="895"/>
      <c r="D88" s="895"/>
      <c r="E88" s="895"/>
      <c r="F88" s="895"/>
      <c r="G88" s="895"/>
      <c r="H88" s="895"/>
      <c r="I88" s="895"/>
      <c r="J88" s="895"/>
      <c r="K88" s="895"/>
      <c r="L88" s="437"/>
    </row>
    <row r="89" spans="1:12" ht="14.25">
      <c r="A89" s="437"/>
      <c r="B89" s="439"/>
      <c r="C89" s="439"/>
      <c r="D89" s="439"/>
      <c r="E89" s="439"/>
      <c r="F89" s="439"/>
      <c r="G89" s="439"/>
      <c r="H89" s="439"/>
      <c r="I89" s="439"/>
      <c r="J89" s="439"/>
      <c r="K89" s="439"/>
      <c r="L89" s="437"/>
    </row>
    <row r="90" spans="1:12" ht="45" customHeight="1">
      <c r="A90" s="437"/>
      <c r="B90" s="896" t="s">
        <v>576</v>
      </c>
      <c r="C90" s="896"/>
      <c r="D90" s="896"/>
      <c r="E90" s="896"/>
      <c r="F90" s="896"/>
      <c r="G90" s="896"/>
      <c r="H90" s="896"/>
      <c r="I90" s="896"/>
      <c r="J90" s="896"/>
      <c r="K90" s="896"/>
      <c r="L90" s="437"/>
    </row>
    <row r="91" spans="1:12" ht="15" customHeight="1" thickBot="1">
      <c r="A91" s="437"/>
      <c r="L91" s="437"/>
    </row>
    <row r="92" spans="1:12" ht="15" customHeight="1">
      <c r="A92" s="437"/>
      <c r="B92" s="475" t="s">
        <v>536</v>
      </c>
      <c r="C92" s="476"/>
      <c r="D92" s="476"/>
      <c r="E92" s="476"/>
      <c r="F92" s="476"/>
      <c r="G92" s="476"/>
      <c r="H92" s="476"/>
      <c r="I92" s="476"/>
      <c r="J92" s="476"/>
      <c r="K92" s="477"/>
      <c r="L92" s="437"/>
    </row>
    <row r="93" spans="1:12" ht="15" customHeight="1">
      <c r="A93" s="437"/>
      <c r="B93" s="478"/>
      <c r="C93" s="458" t="s">
        <v>542</v>
      </c>
      <c r="D93" s="458"/>
      <c r="E93" s="458"/>
      <c r="F93" s="458"/>
      <c r="G93" s="458"/>
      <c r="H93" s="458"/>
      <c r="I93" s="458"/>
      <c r="J93" s="458"/>
      <c r="K93" s="479"/>
      <c r="L93" s="437"/>
    </row>
    <row r="94" spans="1:12" ht="15" customHeight="1">
      <c r="A94" s="437"/>
      <c r="B94" s="478" t="s">
        <v>563</v>
      </c>
      <c r="C94" s="898">
        <v>312000000</v>
      </c>
      <c r="D94" s="898"/>
      <c r="E94" s="450" t="s">
        <v>541</v>
      </c>
      <c r="F94" s="450">
        <v>1000</v>
      </c>
      <c r="G94" s="450" t="s">
        <v>540</v>
      </c>
      <c r="H94" s="469">
        <f>C94/F94</f>
        <v>312000</v>
      </c>
      <c r="I94" s="458" t="s">
        <v>564</v>
      </c>
      <c r="J94" s="458"/>
      <c r="K94" s="479"/>
      <c r="L94" s="437"/>
    </row>
    <row r="95" spans="1:12" ht="15" customHeight="1">
      <c r="A95" s="437"/>
      <c r="B95" s="478"/>
      <c r="C95" s="458"/>
      <c r="D95" s="458"/>
      <c r="E95" s="450"/>
      <c r="F95" s="458"/>
      <c r="G95" s="458"/>
      <c r="H95" s="458"/>
      <c r="I95" s="458"/>
      <c r="J95" s="458"/>
      <c r="K95" s="479"/>
      <c r="L95" s="437"/>
    </row>
    <row r="96" spans="1:12" ht="15" customHeight="1">
      <c r="A96" s="437"/>
      <c r="B96" s="478"/>
      <c r="C96" s="458" t="s">
        <v>565</v>
      </c>
      <c r="D96" s="458"/>
      <c r="E96" s="450"/>
      <c r="F96" s="458" t="s">
        <v>564</v>
      </c>
      <c r="G96" s="458"/>
      <c r="H96" s="458"/>
      <c r="I96" s="458"/>
      <c r="J96" s="458"/>
      <c r="K96" s="479"/>
      <c r="L96" s="437"/>
    </row>
    <row r="97" spans="1:12" ht="15" customHeight="1">
      <c r="A97" s="437"/>
      <c r="B97" s="478" t="s">
        <v>566</v>
      </c>
      <c r="C97" s="898">
        <v>50000</v>
      </c>
      <c r="D97" s="898"/>
      <c r="E97" s="450" t="s">
        <v>541</v>
      </c>
      <c r="F97" s="469">
        <f>H94</f>
        <v>312000</v>
      </c>
      <c r="G97" s="450" t="s">
        <v>540</v>
      </c>
      <c r="H97" s="459">
        <f>C97/F97</f>
        <v>0.16025641025641027</v>
      </c>
      <c r="I97" s="458" t="s">
        <v>567</v>
      </c>
      <c r="J97" s="458"/>
      <c r="K97" s="479"/>
      <c r="L97" s="437"/>
    </row>
    <row r="98" spans="1:12" ht="15" customHeight="1">
      <c r="A98" s="437"/>
      <c r="B98" s="478"/>
      <c r="C98" s="458"/>
      <c r="D98" s="458"/>
      <c r="E98" s="450"/>
      <c r="F98" s="458"/>
      <c r="G98" s="458"/>
      <c r="H98" s="458"/>
      <c r="I98" s="458"/>
      <c r="J98" s="458"/>
      <c r="K98" s="479"/>
      <c r="L98" s="437"/>
    </row>
    <row r="99" spans="1:12" ht="15" customHeight="1">
      <c r="A99" s="437"/>
      <c r="B99" s="480"/>
      <c r="C99" s="481" t="s">
        <v>577</v>
      </c>
      <c r="D99" s="481"/>
      <c r="E99" s="467"/>
      <c r="F99" s="481"/>
      <c r="G99" s="481"/>
      <c r="H99" s="481"/>
      <c r="I99" s="481"/>
      <c r="J99" s="481"/>
      <c r="K99" s="482"/>
      <c r="L99" s="437"/>
    </row>
    <row r="100" spans="1:12" ht="15" customHeight="1">
      <c r="A100" s="437"/>
      <c r="B100" s="478" t="s">
        <v>569</v>
      </c>
      <c r="C100" s="898">
        <v>2500000</v>
      </c>
      <c r="D100" s="898"/>
      <c r="E100" s="450" t="s">
        <v>26</v>
      </c>
      <c r="F100" s="483">
        <v>0.3</v>
      </c>
      <c r="G100" s="450" t="s">
        <v>540</v>
      </c>
      <c r="H100" s="464">
        <f>C100*F100</f>
        <v>750000</v>
      </c>
      <c r="I100" s="458" t="s">
        <v>570</v>
      </c>
      <c r="J100" s="458"/>
      <c r="K100" s="479"/>
      <c r="L100" s="437"/>
    </row>
    <row r="101" spans="1:12" ht="15" customHeight="1">
      <c r="A101" s="437"/>
      <c r="B101" s="478"/>
      <c r="C101" s="458"/>
      <c r="D101" s="458"/>
      <c r="E101" s="450"/>
      <c r="F101" s="458"/>
      <c r="G101" s="458"/>
      <c r="H101" s="458"/>
      <c r="I101" s="458"/>
      <c r="J101" s="458"/>
      <c r="K101" s="479"/>
      <c r="L101" s="437"/>
    </row>
    <row r="102" spans="1:12" ht="15" customHeight="1">
      <c r="A102" s="437"/>
      <c r="B102" s="480"/>
      <c r="C102" s="481" t="s">
        <v>571</v>
      </c>
      <c r="D102" s="481"/>
      <c r="E102" s="467"/>
      <c r="F102" s="481" t="s">
        <v>567</v>
      </c>
      <c r="G102" s="481"/>
      <c r="H102" s="481"/>
      <c r="I102" s="481"/>
      <c r="J102" s="481" t="s">
        <v>572</v>
      </c>
      <c r="K102" s="482"/>
      <c r="L102" s="437"/>
    </row>
    <row r="103" spans="1:12" ht="15" customHeight="1">
      <c r="A103" s="437"/>
      <c r="B103" s="478" t="s">
        <v>573</v>
      </c>
      <c r="C103" s="899">
        <f>H100</f>
        <v>750000</v>
      </c>
      <c r="D103" s="899"/>
      <c r="E103" s="450" t="s">
        <v>26</v>
      </c>
      <c r="F103" s="459">
        <f>H97</f>
        <v>0.16025641025641027</v>
      </c>
      <c r="G103" s="450" t="s">
        <v>541</v>
      </c>
      <c r="H103" s="450">
        <v>1000</v>
      </c>
      <c r="I103" s="450" t="s">
        <v>540</v>
      </c>
      <c r="J103" s="469">
        <f>C103*F103/H103</f>
        <v>120.19230769230771</v>
      </c>
      <c r="K103" s="479"/>
      <c r="L103" s="437"/>
    </row>
    <row r="104" spans="1:12" ht="15" customHeight="1" thickBot="1">
      <c r="A104" s="437"/>
      <c r="B104" s="484"/>
      <c r="C104" s="470"/>
      <c r="D104" s="470"/>
      <c r="E104" s="471"/>
      <c r="F104" s="472"/>
      <c r="G104" s="471"/>
      <c r="H104" s="471"/>
      <c r="I104" s="471"/>
      <c r="J104" s="473"/>
      <c r="K104" s="460"/>
      <c r="L104" s="437"/>
    </row>
    <row r="105" spans="1:12" ht="40.5" customHeight="1">
      <c r="A105" s="437"/>
      <c r="B105" s="900" t="s">
        <v>532</v>
      </c>
      <c r="C105" s="901"/>
      <c r="D105" s="901"/>
      <c r="E105" s="901"/>
      <c r="F105" s="901"/>
      <c r="G105" s="901"/>
      <c r="H105" s="901"/>
      <c r="I105" s="901"/>
      <c r="J105" s="901"/>
      <c r="K105" s="901"/>
      <c r="L105" s="437"/>
    </row>
    <row r="106" spans="1:12" ht="15" customHeight="1">
      <c r="A106" s="437"/>
      <c r="B106" s="902" t="s">
        <v>578</v>
      </c>
      <c r="C106" s="903"/>
      <c r="D106" s="903"/>
      <c r="E106" s="903"/>
      <c r="F106" s="903"/>
      <c r="G106" s="903"/>
      <c r="H106" s="903"/>
      <c r="I106" s="903"/>
      <c r="J106" s="903"/>
      <c r="K106" s="903"/>
      <c r="L106" s="437"/>
    </row>
    <row r="107" spans="1:12" ht="15" customHeight="1">
      <c r="A107" s="437"/>
      <c r="B107" s="458"/>
      <c r="C107" s="485"/>
      <c r="D107" s="485"/>
      <c r="E107" s="450"/>
      <c r="F107" s="459"/>
      <c r="G107" s="450"/>
      <c r="H107" s="450"/>
      <c r="I107" s="450"/>
      <c r="J107" s="469"/>
      <c r="K107" s="458"/>
      <c r="L107" s="437"/>
    </row>
    <row r="108" spans="1:12" ht="15" customHeight="1">
      <c r="A108" s="437"/>
      <c r="B108" s="902" t="s">
        <v>579</v>
      </c>
      <c r="C108" s="904"/>
      <c r="D108" s="904"/>
      <c r="E108" s="904"/>
      <c r="F108" s="904"/>
      <c r="G108" s="904"/>
      <c r="H108" s="904"/>
      <c r="I108" s="904"/>
      <c r="J108" s="904"/>
      <c r="K108" s="904"/>
      <c r="L108" s="437"/>
    </row>
    <row r="109" spans="1:12" ht="15" customHeight="1">
      <c r="A109" s="437"/>
      <c r="B109" s="458"/>
      <c r="C109" s="485"/>
      <c r="D109" s="485"/>
      <c r="E109" s="450"/>
      <c r="F109" s="459"/>
      <c r="G109" s="450"/>
      <c r="H109" s="450"/>
      <c r="I109" s="450"/>
      <c r="J109" s="469"/>
      <c r="K109" s="458"/>
      <c r="L109" s="437"/>
    </row>
    <row r="110" spans="1:12" ht="59.25" customHeight="1">
      <c r="A110" s="437"/>
      <c r="B110" s="905" t="s">
        <v>580</v>
      </c>
      <c r="C110" s="906"/>
      <c r="D110" s="906"/>
      <c r="E110" s="906"/>
      <c r="F110" s="906"/>
      <c r="G110" s="906"/>
      <c r="H110" s="906"/>
      <c r="I110" s="906"/>
      <c r="J110" s="906"/>
      <c r="K110" s="906"/>
      <c r="L110" s="437"/>
    </row>
    <row r="111" spans="1:12" ht="15" thickBot="1">
      <c r="A111" s="437"/>
      <c r="B111" s="441"/>
      <c r="C111" s="441"/>
      <c r="D111" s="441"/>
      <c r="E111" s="441"/>
      <c r="F111" s="441"/>
      <c r="G111" s="441"/>
      <c r="H111" s="441"/>
      <c r="I111" s="441"/>
      <c r="J111" s="441"/>
      <c r="K111" s="441"/>
      <c r="L111" s="486"/>
    </row>
    <row r="112" spans="1:12" ht="14.25">
      <c r="A112" s="437"/>
      <c r="B112" s="445" t="s">
        <v>536</v>
      </c>
      <c r="C112" s="446"/>
      <c r="D112" s="446"/>
      <c r="E112" s="446"/>
      <c r="F112" s="446"/>
      <c r="G112" s="446"/>
      <c r="H112" s="446"/>
      <c r="I112" s="446"/>
      <c r="J112" s="446"/>
      <c r="K112" s="447"/>
      <c r="L112" s="437"/>
    </row>
    <row r="113" spans="1:12" ht="14.25">
      <c r="A113" s="437"/>
      <c r="B113" s="457"/>
      <c r="C113" s="449" t="s">
        <v>542</v>
      </c>
      <c r="D113" s="449"/>
      <c r="E113" s="449"/>
      <c r="F113" s="449"/>
      <c r="G113" s="449"/>
      <c r="H113" s="449"/>
      <c r="I113" s="449"/>
      <c r="J113" s="449"/>
      <c r="K113" s="451"/>
      <c r="L113" s="437"/>
    </row>
    <row r="114" spans="1:12" ht="14.25">
      <c r="A114" s="437"/>
      <c r="B114" s="457" t="s">
        <v>563</v>
      </c>
      <c r="C114" s="898">
        <v>312000000</v>
      </c>
      <c r="D114" s="898"/>
      <c r="E114" s="450" t="s">
        <v>541</v>
      </c>
      <c r="F114" s="450">
        <v>1000</v>
      </c>
      <c r="G114" s="450" t="s">
        <v>540</v>
      </c>
      <c r="H114" s="469">
        <f>C114/F114</f>
        <v>312000</v>
      </c>
      <c r="I114" s="449" t="s">
        <v>564</v>
      </c>
      <c r="J114" s="449"/>
      <c r="K114" s="451"/>
      <c r="L114" s="437"/>
    </row>
    <row r="115" spans="1:12" ht="14.25">
      <c r="A115" s="437"/>
      <c r="B115" s="457"/>
      <c r="C115" s="449"/>
      <c r="D115" s="449"/>
      <c r="E115" s="450"/>
      <c r="F115" s="449"/>
      <c r="G115" s="449"/>
      <c r="H115" s="449"/>
      <c r="I115" s="449"/>
      <c r="J115" s="449"/>
      <c r="K115" s="451"/>
      <c r="L115" s="437"/>
    </row>
    <row r="116" spans="1:12" ht="14.25">
      <c r="A116" s="437"/>
      <c r="B116" s="457"/>
      <c r="C116" s="449" t="s">
        <v>565</v>
      </c>
      <c r="D116" s="449"/>
      <c r="E116" s="450"/>
      <c r="F116" s="449" t="s">
        <v>564</v>
      </c>
      <c r="G116" s="449"/>
      <c r="H116" s="449"/>
      <c r="I116" s="449"/>
      <c r="J116" s="449"/>
      <c r="K116" s="451"/>
      <c r="L116" s="437"/>
    </row>
    <row r="117" spans="1:12" ht="14.25">
      <c r="A117" s="437"/>
      <c r="B117" s="457" t="s">
        <v>566</v>
      </c>
      <c r="C117" s="898">
        <v>50000</v>
      </c>
      <c r="D117" s="898"/>
      <c r="E117" s="450" t="s">
        <v>541</v>
      </c>
      <c r="F117" s="469">
        <f>H114</f>
        <v>312000</v>
      </c>
      <c r="G117" s="450" t="s">
        <v>540</v>
      </c>
      <c r="H117" s="459">
        <f>C117/F117</f>
        <v>0.16025641025641027</v>
      </c>
      <c r="I117" s="449" t="s">
        <v>567</v>
      </c>
      <c r="J117" s="449"/>
      <c r="K117" s="451"/>
      <c r="L117" s="437"/>
    </row>
    <row r="118" spans="1:12" ht="14.25">
      <c r="A118" s="437"/>
      <c r="B118" s="457"/>
      <c r="C118" s="449"/>
      <c r="D118" s="449"/>
      <c r="E118" s="450"/>
      <c r="F118" s="449"/>
      <c r="G118" s="449"/>
      <c r="H118" s="449"/>
      <c r="I118" s="449"/>
      <c r="J118" s="449"/>
      <c r="K118" s="451"/>
      <c r="L118" s="437"/>
    </row>
    <row r="119" spans="1:12" ht="14.25">
      <c r="A119" s="437"/>
      <c r="B119" s="465"/>
      <c r="C119" s="466" t="s">
        <v>577</v>
      </c>
      <c r="D119" s="466"/>
      <c r="E119" s="467"/>
      <c r="F119" s="466"/>
      <c r="G119" s="466"/>
      <c r="H119" s="466"/>
      <c r="I119" s="466"/>
      <c r="J119" s="466"/>
      <c r="K119" s="468"/>
      <c r="L119" s="437"/>
    </row>
    <row r="120" spans="1:12" ht="14.25">
      <c r="A120" s="437"/>
      <c r="B120" s="457" t="s">
        <v>569</v>
      </c>
      <c r="C120" s="898">
        <v>2500000</v>
      </c>
      <c r="D120" s="898"/>
      <c r="E120" s="450" t="s">
        <v>26</v>
      </c>
      <c r="F120" s="483">
        <v>0.25</v>
      </c>
      <c r="G120" s="450" t="s">
        <v>540</v>
      </c>
      <c r="H120" s="464">
        <f>C120*F120</f>
        <v>625000</v>
      </c>
      <c r="I120" s="449" t="s">
        <v>570</v>
      </c>
      <c r="J120" s="449"/>
      <c r="K120" s="451"/>
      <c r="L120" s="437"/>
    </row>
    <row r="121" spans="1:12" ht="14.25">
      <c r="A121" s="437"/>
      <c r="B121" s="457"/>
      <c r="C121" s="449"/>
      <c r="D121" s="449"/>
      <c r="E121" s="450"/>
      <c r="F121" s="449"/>
      <c r="G121" s="449"/>
      <c r="H121" s="449"/>
      <c r="I121" s="449"/>
      <c r="J121" s="449"/>
      <c r="K121" s="451"/>
      <c r="L121" s="437"/>
    </row>
    <row r="122" spans="1:12" ht="14.25">
      <c r="A122" s="437"/>
      <c r="B122" s="465"/>
      <c r="C122" s="466" t="s">
        <v>571</v>
      </c>
      <c r="D122" s="466"/>
      <c r="E122" s="467"/>
      <c r="F122" s="466" t="s">
        <v>567</v>
      </c>
      <c r="G122" s="466"/>
      <c r="H122" s="466"/>
      <c r="I122" s="466"/>
      <c r="J122" s="466" t="s">
        <v>572</v>
      </c>
      <c r="K122" s="468"/>
      <c r="L122" s="437"/>
    </row>
    <row r="123" spans="1:12" ht="14.25">
      <c r="A123" s="437"/>
      <c r="B123" s="457" t="s">
        <v>573</v>
      </c>
      <c r="C123" s="899">
        <f>H120</f>
        <v>625000</v>
      </c>
      <c r="D123" s="899"/>
      <c r="E123" s="450" t="s">
        <v>26</v>
      </c>
      <c r="F123" s="459">
        <f>H117</f>
        <v>0.16025641025641027</v>
      </c>
      <c r="G123" s="450" t="s">
        <v>541</v>
      </c>
      <c r="H123" s="450">
        <v>1000</v>
      </c>
      <c r="I123" s="450" t="s">
        <v>540</v>
      </c>
      <c r="J123" s="469">
        <f>C123*F123/H123</f>
        <v>100.16025641025642</v>
      </c>
      <c r="K123" s="451"/>
      <c r="L123" s="437"/>
    </row>
    <row r="124" spans="1:12" ht="15" thickBot="1">
      <c r="A124" s="437"/>
      <c r="B124" s="452"/>
      <c r="C124" s="470"/>
      <c r="D124" s="470"/>
      <c r="E124" s="471"/>
      <c r="F124" s="472"/>
      <c r="G124" s="471"/>
      <c r="H124" s="471"/>
      <c r="I124" s="471"/>
      <c r="J124" s="473"/>
      <c r="K124" s="454"/>
      <c r="L124" s="437"/>
    </row>
    <row r="125" spans="1:12" ht="40.5" customHeight="1">
      <c r="A125" s="437"/>
      <c r="B125" s="900" t="s">
        <v>532</v>
      </c>
      <c r="C125" s="900"/>
      <c r="D125" s="900"/>
      <c r="E125" s="900"/>
      <c r="F125" s="900"/>
      <c r="G125" s="900"/>
      <c r="H125" s="900"/>
      <c r="I125" s="900"/>
      <c r="J125" s="900"/>
      <c r="K125" s="900"/>
      <c r="L125" s="486"/>
    </row>
    <row r="126" spans="1:12" ht="14.25">
      <c r="A126" s="437"/>
      <c r="B126" s="895" t="s">
        <v>581</v>
      </c>
      <c r="C126" s="895"/>
      <c r="D126" s="895"/>
      <c r="E126" s="895"/>
      <c r="F126" s="895"/>
      <c r="G126" s="895"/>
      <c r="H126" s="895"/>
      <c r="I126" s="895"/>
      <c r="J126" s="895"/>
      <c r="K126" s="895"/>
      <c r="L126" s="486"/>
    </row>
    <row r="127" spans="1:12" ht="14.25">
      <c r="A127" s="437"/>
      <c r="B127" s="441"/>
      <c r="C127" s="441"/>
      <c r="D127" s="441"/>
      <c r="E127" s="441"/>
      <c r="F127" s="441"/>
      <c r="G127" s="441"/>
      <c r="H127" s="441"/>
      <c r="I127" s="441"/>
      <c r="J127" s="441"/>
      <c r="K127" s="441"/>
      <c r="L127" s="486"/>
    </row>
    <row r="128" spans="1:12" ht="14.25">
      <c r="A128" s="437"/>
      <c r="B128" s="895" t="s">
        <v>582</v>
      </c>
      <c r="C128" s="895"/>
      <c r="D128" s="895"/>
      <c r="E128" s="895"/>
      <c r="F128" s="895"/>
      <c r="G128" s="895"/>
      <c r="H128" s="895"/>
      <c r="I128" s="895"/>
      <c r="J128" s="895"/>
      <c r="K128" s="895"/>
      <c r="L128" s="486"/>
    </row>
    <row r="129" spans="1:12" ht="14.25">
      <c r="A129" s="437"/>
      <c r="B129" s="439"/>
      <c r="C129" s="439"/>
      <c r="D129" s="439"/>
      <c r="E129" s="439"/>
      <c r="F129" s="439"/>
      <c r="G129" s="439"/>
      <c r="H129" s="439"/>
      <c r="I129" s="439"/>
      <c r="J129" s="439"/>
      <c r="K129" s="439"/>
      <c r="L129" s="486"/>
    </row>
    <row r="130" spans="1:12" ht="74.25" customHeight="1">
      <c r="A130" s="437"/>
      <c r="B130" s="896" t="s">
        <v>583</v>
      </c>
      <c r="C130" s="896"/>
      <c r="D130" s="896"/>
      <c r="E130" s="896"/>
      <c r="F130" s="896"/>
      <c r="G130" s="896"/>
      <c r="H130" s="896"/>
      <c r="I130" s="896"/>
      <c r="J130" s="896"/>
      <c r="K130" s="896"/>
      <c r="L130" s="486"/>
    </row>
    <row r="131" spans="1:12" ht="15" thickBot="1">
      <c r="A131" s="437"/>
      <c r="L131" s="437"/>
    </row>
    <row r="132" spans="1:12" ht="14.25">
      <c r="A132" s="437"/>
      <c r="B132" s="445" t="s">
        <v>536</v>
      </c>
      <c r="C132" s="446"/>
      <c r="D132" s="446"/>
      <c r="E132" s="446"/>
      <c r="F132" s="446"/>
      <c r="G132" s="446"/>
      <c r="H132" s="446"/>
      <c r="I132" s="446"/>
      <c r="J132" s="446"/>
      <c r="K132" s="447"/>
      <c r="L132" s="437"/>
    </row>
    <row r="133" spans="1:12" ht="14.25">
      <c r="A133" s="437"/>
      <c r="B133" s="457"/>
      <c r="C133" s="897" t="s">
        <v>584</v>
      </c>
      <c r="D133" s="897"/>
      <c r="E133" s="449"/>
      <c r="F133" s="450" t="s">
        <v>585</v>
      </c>
      <c r="G133" s="449"/>
      <c r="H133" s="897" t="s">
        <v>570</v>
      </c>
      <c r="I133" s="897"/>
      <c r="J133" s="449"/>
      <c r="K133" s="451"/>
      <c r="L133" s="437"/>
    </row>
    <row r="134" spans="1:12" ht="14.25">
      <c r="A134" s="437"/>
      <c r="B134" s="457" t="s">
        <v>563</v>
      </c>
      <c r="C134" s="898">
        <v>100000</v>
      </c>
      <c r="D134" s="898"/>
      <c r="E134" s="450" t="s">
        <v>26</v>
      </c>
      <c r="F134" s="450">
        <v>0.115</v>
      </c>
      <c r="G134" s="450" t="s">
        <v>540</v>
      </c>
      <c r="H134" s="887">
        <f>C134*F134</f>
        <v>11500</v>
      </c>
      <c r="I134" s="887"/>
      <c r="J134" s="449"/>
      <c r="K134" s="451"/>
      <c r="L134" s="437"/>
    </row>
    <row r="135" spans="1:12" ht="14.25">
      <c r="A135" s="437"/>
      <c r="B135" s="457"/>
      <c r="C135" s="449"/>
      <c r="D135" s="449"/>
      <c r="E135" s="449"/>
      <c r="F135" s="449"/>
      <c r="G135" s="449"/>
      <c r="H135" s="449"/>
      <c r="I135" s="449"/>
      <c r="J135" s="449"/>
      <c r="K135" s="451"/>
      <c r="L135" s="437"/>
    </row>
    <row r="136" spans="1:12" ht="14.25">
      <c r="A136" s="437"/>
      <c r="B136" s="465"/>
      <c r="C136" s="886" t="s">
        <v>570</v>
      </c>
      <c r="D136" s="886"/>
      <c r="E136" s="466"/>
      <c r="F136" s="467" t="s">
        <v>586</v>
      </c>
      <c r="G136" s="467"/>
      <c r="H136" s="466"/>
      <c r="I136" s="466"/>
      <c r="J136" s="466" t="s">
        <v>587</v>
      </c>
      <c r="K136" s="468"/>
      <c r="L136" s="437"/>
    </row>
    <row r="137" spans="1:12" ht="14.25">
      <c r="A137" s="437"/>
      <c r="B137" s="457" t="s">
        <v>566</v>
      </c>
      <c r="C137" s="887">
        <f>H134</f>
        <v>11500</v>
      </c>
      <c r="D137" s="887"/>
      <c r="E137" s="450" t="s">
        <v>26</v>
      </c>
      <c r="F137" s="487">
        <v>52.869</v>
      </c>
      <c r="G137" s="450" t="s">
        <v>541</v>
      </c>
      <c r="H137" s="450">
        <v>1000</v>
      </c>
      <c r="I137" s="450" t="s">
        <v>540</v>
      </c>
      <c r="J137" s="488">
        <f>C137*F137/H137</f>
        <v>607.9935</v>
      </c>
      <c r="K137" s="451"/>
      <c r="L137" s="437"/>
    </row>
    <row r="138" spans="1:12" ht="15" thickBot="1">
      <c r="A138" s="437"/>
      <c r="B138" s="452"/>
      <c r="C138" s="489"/>
      <c r="D138" s="489"/>
      <c r="E138" s="471"/>
      <c r="F138" s="490"/>
      <c r="G138" s="471"/>
      <c r="H138" s="471"/>
      <c r="I138" s="471"/>
      <c r="J138" s="491"/>
      <c r="K138" s="454"/>
      <c r="L138" s="437"/>
    </row>
    <row r="139" spans="1:12" ht="40.5" customHeight="1">
      <c r="A139" s="437"/>
      <c r="B139" s="492" t="s">
        <v>532</v>
      </c>
      <c r="C139" s="493"/>
      <c r="D139" s="493"/>
      <c r="E139" s="494"/>
      <c r="F139" s="495"/>
      <c r="G139" s="494"/>
      <c r="H139" s="494"/>
      <c r="I139" s="494"/>
      <c r="J139" s="496"/>
      <c r="K139" s="497"/>
      <c r="L139" s="437"/>
    </row>
    <row r="140" spans="1:12" ht="14.25">
      <c r="A140" s="437"/>
      <c r="B140" s="498" t="s">
        <v>588</v>
      </c>
      <c r="C140" s="499"/>
      <c r="D140" s="499"/>
      <c r="E140" s="500"/>
      <c r="F140" s="501"/>
      <c r="G140" s="500"/>
      <c r="H140" s="500"/>
      <c r="I140" s="500"/>
      <c r="J140" s="502"/>
      <c r="K140" s="503"/>
      <c r="L140" s="437"/>
    </row>
    <row r="141" spans="1:12" ht="14.25">
      <c r="A141" s="437"/>
      <c r="B141" s="457"/>
      <c r="C141" s="464"/>
      <c r="D141" s="464"/>
      <c r="E141" s="450"/>
      <c r="F141" s="504"/>
      <c r="G141" s="450"/>
      <c r="H141" s="450"/>
      <c r="I141" s="450"/>
      <c r="J141" s="488"/>
      <c r="K141" s="451"/>
      <c r="L141" s="437"/>
    </row>
    <row r="142" spans="1:12" ht="14.25">
      <c r="A142" s="437"/>
      <c r="B142" s="498" t="s">
        <v>589</v>
      </c>
      <c r="C142" s="499"/>
      <c r="D142" s="499"/>
      <c r="E142" s="500"/>
      <c r="F142" s="501"/>
      <c r="G142" s="500"/>
      <c r="H142" s="500"/>
      <c r="I142" s="500"/>
      <c r="J142" s="502"/>
      <c r="K142" s="503"/>
      <c r="L142" s="437"/>
    </row>
    <row r="143" spans="1:12" ht="14.25">
      <c r="A143" s="437"/>
      <c r="B143" s="457"/>
      <c r="C143" s="464"/>
      <c r="D143" s="464"/>
      <c r="E143" s="450"/>
      <c r="F143" s="504"/>
      <c r="G143" s="450"/>
      <c r="H143" s="450"/>
      <c r="I143" s="450"/>
      <c r="J143" s="488"/>
      <c r="K143" s="451"/>
      <c r="L143" s="437"/>
    </row>
    <row r="144" spans="1:12" ht="76.5" customHeight="1">
      <c r="A144" s="437"/>
      <c r="B144" s="888" t="s">
        <v>590</v>
      </c>
      <c r="C144" s="889"/>
      <c r="D144" s="889"/>
      <c r="E144" s="889"/>
      <c r="F144" s="889"/>
      <c r="G144" s="889"/>
      <c r="H144" s="889"/>
      <c r="I144" s="889"/>
      <c r="J144" s="889"/>
      <c r="K144" s="890"/>
      <c r="L144" s="437"/>
    </row>
    <row r="145" spans="1:12" ht="15" thickBot="1">
      <c r="A145" s="437"/>
      <c r="B145" s="457"/>
      <c r="C145" s="464"/>
      <c r="D145" s="464"/>
      <c r="E145" s="450"/>
      <c r="F145" s="504"/>
      <c r="G145" s="450"/>
      <c r="H145" s="450"/>
      <c r="I145" s="450"/>
      <c r="J145" s="488"/>
      <c r="K145" s="451"/>
      <c r="L145" s="437"/>
    </row>
    <row r="146" spans="1:12" ht="14.25">
      <c r="A146" s="437"/>
      <c r="B146" s="445" t="s">
        <v>536</v>
      </c>
      <c r="C146" s="505"/>
      <c r="D146" s="505"/>
      <c r="E146" s="506"/>
      <c r="F146" s="507"/>
      <c r="G146" s="506"/>
      <c r="H146" s="506"/>
      <c r="I146" s="506"/>
      <c r="J146" s="508"/>
      <c r="K146" s="447"/>
      <c r="L146" s="437"/>
    </row>
    <row r="147" spans="1:12" ht="14.25">
      <c r="A147" s="437"/>
      <c r="B147" s="457"/>
      <c r="C147" s="887" t="s">
        <v>591</v>
      </c>
      <c r="D147" s="887"/>
      <c r="E147" s="450"/>
      <c r="F147" s="504" t="s">
        <v>592</v>
      </c>
      <c r="G147" s="450"/>
      <c r="H147" s="450"/>
      <c r="I147" s="450"/>
      <c r="J147" s="891" t="s">
        <v>593</v>
      </c>
      <c r="K147" s="892"/>
      <c r="L147" s="437"/>
    </row>
    <row r="148" spans="1:12" ht="14.25">
      <c r="A148" s="437"/>
      <c r="B148" s="457"/>
      <c r="C148" s="893">
        <v>52.869</v>
      </c>
      <c r="D148" s="893"/>
      <c r="E148" s="450" t="s">
        <v>26</v>
      </c>
      <c r="F148" s="443">
        <v>312000000</v>
      </c>
      <c r="G148" s="509" t="s">
        <v>541</v>
      </c>
      <c r="H148" s="450">
        <v>1000</v>
      </c>
      <c r="I148" s="450" t="s">
        <v>540</v>
      </c>
      <c r="J148" s="891">
        <f>C148*(F148/1000)</f>
        <v>16495128</v>
      </c>
      <c r="K148" s="894"/>
      <c r="L148" s="437"/>
    </row>
    <row r="149" spans="1:12" ht="15" thickBot="1">
      <c r="A149" s="437"/>
      <c r="B149" s="452"/>
      <c r="C149" s="489"/>
      <c r="D149" s="489"/>
      <c r="E149" s="471"/>
      <c r="F149" s="490"/>
      <c r="G149" s="471"/>
      <c r="H149" s="471"/>
      <c r="I149" s="471"/>
      <c r="J149" s="491"/>
      <c r="K149" s="454"/>
      <c r="L149" s="437"/>
    </row>
    <row r="150" spans="1:12" ht="15" thickBot="1">
      <c r="A150" s="437"/>
      <c r="B150" s="452"/>
      <c r="C150" s="453"/>
      <c r="D150" s="453"/>
      <c r="E150" s="453"/>
      <c r="F150" s="453"/>
      <c r="G150" s="453"/>
      <c r="H150" s="453"/>
      <c r="I150" s="453"/>
      <c r="J150" s="453"/>
      <c r="K150" s="454"/>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zoomScalePageLayoutView="0" workbookViewId="0" topLeftCell="A1">
      <selection activeCell="D38" sqref="D38"/>
    </sheetView>
  </sheetViews>
  <sheetFormatPr defaultColWidth="8.796875" defaultRowHeight="15"/>
  <cols>
    <col min="1" max="1" width="15.796875" style="38" customWidth="1"/>
    <col min="2" max="2" width="20.796875" style="38" customWidth="1"/>
    <col min="3" max="3" width="10.796875" style="38" customWidth="1"/>
    <col min="4" max="4" width="15.69921875" style="38" customWidth="1"/>
    <col min="5" max="5" width="14.19921875" style="38" customWidth="1"/>
    <col min="6" max="16384" width="8.8984375" style="38" customWidth="1"/>
  </cols>
  <sheetData>
    <row r="1" spans="1:5" ht="15.75">
      <c r="A1" s="138">
        <f>inputPrYr!D3</f>
        <v>0</v>
      </c>
      <c r="B1" s="138"/>
      <c r="C1" s="138"/>
      <c r="D1" s="138"/>
      <c r="E1" s="138">
        <f>inputPrYr!D6</f>
        <v>0</v>
      </c>
    </row>
    <row r="2" spans="1:5" ht="15.75">
      <c r="A2" s="138">
        <f>inputPrYr!D4</f>
        <v>0</v>
      </c>
      <c r="B2" s="138"/>
      <c r="C2" s="138"/>
      <c r="D2" s="138"/>
      <c r="E2" s="138"/>
    </row>
    <row r="3" spans="1:5" ht="15">
      <c r="A3" s="203"/>
      <c r="B3" s="203"/>
      <c r="C3" s="203"/>
      <c r="D3" s="203"/>
      <c r="E3" s="203"/>
    </row>
    <row r="4" spans="1:5" ht="15.75">
      <c r="A4" s="755" t="s">
        <v>707</v>
      </c>
      <c r="B4" s="756"/>
      <c r="C4" s="756"/>
      <c r="D4" s="756"/>
      <c r="E4" s="756"/>
    </row>
    <row r="5" spans="1:5" ht="15">
      <c r="A5" s="203"/>
      <c r="B5" s="203"/>
      <c r="C5" s="203"/>
      <c r="D5" s="203"/>
      <c r="E5" s="203"/>
    </row>
    <row r="6" spans="1:5" ht="15.75">
      <c r="A6" s="667" t="str">
        <f>CONCATENATE("From the County Clerk's ",E1," Budget Information:")</f>
        <v>From the County Clerk's 0 Budget Information:</v>
      </c>
      <c r="B6" s="668"/>
      <c r="C6" s="669"/>
      <c r="D6" s="1"/>
      <c r="E6" s="136"/>
    </row>
    <row r="7" spans="1:5" ht="15.75">
      <c r="A7" s="276" t="str">
        <f>CONCATENATE("Total Assessed Valuation for ",inputPrYr!D6-1,"")</f>
        <v>Total Assessed Valuation for -1</v>
      </c>
      <c r="B7" s="206"/>
      <c r="C7" s="206"/>
      <c r="D7" s="206"/>
      <c r="E7" s="61"/>
    </row>
    <row r="8" spans="1:5" ht="15.75">
      <c r="A8" s="277" t="str">
        <f>CONCATENATE("New Improvements for ",inputPrYr!D6-1,"")</f>
        <v>New Improvements for -1</v>
      </c>
      <c r="B8" s="219"/>
      <c r="C8" s="219"/>
      <c r="D8" s="219"/>
      <c r="E8" s="613"/>
    </row>
    <row r="9" spans="1:5" ht="15.75">
      <c r="A9" s="277" t="str">
        <f>CONCATENATE("Personal Property - ",inputPrYr!D6-1,"")</f>
        <v>Personal Property - -1</v>
      </c>
      <c r="B9" s="219"/>
      <c r="C9" s="219"/>
      <c r="D9" s="219"/>
      <c r="E9" s="613"/>
    </row>
    <row r="10" spans="1:5" ht="15.75">
      <c r="A10" s="277" t="str">
        <f>CONCATENATE("Property that has changed in use for ",inputPrYr!D6-1,"")</f>
        <v>Property that has changed in use for -1</v>
      </c>
      <c r="B10" s="219"/>
      <c r="C10" s="219"/>
      <c r="D10" s="219"/>
      <c r="E10" s="613"/>
    </row>
    <row r="11" spans="1:5" ht="15.75">
      <c r="A11" s="276" t="str">
        <f>CONCATENATE("Personal Property - ",inputPrYr!D6-2,"")</f>
        <v>Personal Property - -2</v>
      </c>
      <c r="B11" s="206"/>
      <c r="C11" s="206"/>
      <c r="D11" s="206"/>
      <c r="E11" s="613"/>
    </row>
    <row r="12" spans="1:5" ht="15.75">
      <c r="A12" s="277" t="str">
        <f>CONCATENATE("Neighborhood Revitalization - ",E1,"")</f>
        <v>Neighborhood Revitalization - 0</v>
      </c>
      <c r="B12" s="219"/>
      <c r="C12" s="219"/>
      <c r="D12" s="219"/>
      <c r="E12" s="613"/>
    </row>
    <row r="13" spans="1:5" ht="15.75">
      <c r="A13" s="119" t="s">
        <v>248</v>
      </c>
      <c r="B13" s="219"/>
      <c r="C13" s="219"/>
      <c r="D13" s="219"/>
      <c r="E13" s="613"/>
    </row>
    <row r="14" spans="1:5" ht="15.75">
      <c r="A14" s="121" t="s">
        <v>249</v>
      </c>
      <c r="B14" s="206"/>
      <c r="C14" s="206"/>
      <c r="D14" s="206"/>
      <c r="E14" s="614"/>
    </row>
    <row r="15" spans="1:5" ht="15.75">
      <c r="A15" s="117"/>
      <c r="B15" s="75"/>
      <c r="C15" s="75"/>
      <c r="D15" s="75"/>
      <c r="E15" s="278"/>
    </row>
    <row r="16" spans="1:5" ht="15.75">
      <c r="A16" s="279" t="str">
        <f>CONCATENATE("Actual Tax Rates for the ",E1-1," Budget:")</f>
        <v>Actual Tax Rates for the -1 Budget:</v>
      </c>
      <c r="B16" s="75"/>
      <c r="C16" s="75"/>
      <c r="D16" s="75"/>
      <c r="E16" s="280"/>
    </row>
    <row r="17" spans="1:5" ht="15.75">
      <c r="A17" s="768" t="s">
        <v>24</v>
      </c>
      <c r="B17" s="769"/>
      <c r="C17" s="203"/>
      <c r="D17" s="281" t="s">
        <v>62</v>
      </c>
      <c r="E17" s="280"/>
    </row>
    <row r="18" spans="1:5" ht="15.75">
      <c r="A18" s="276" t="s">
        <v>8</v>
      </c>
      <c r="B18" s="206"/>
      <c r="C18" s="75"/>
      <c r="D18" s="615"/>
      <c r="E18" s="280"/>
    </row>
    <row r="19" spans="1:5" ht="15.75">
      <c r="A19" s="277" t="s">
        <v>226</v>
      </c>
      <c r="B19" s="219"/>
      <c r="C19" s="75"/>
      <c r="D19" s="615"/>
      <c r="E19" s="280"/>
    </row>
    <row r="20" spans="1:5" ht="15.75">
      <c r="A20" s="277">
        <f>inputPrYr!B22</f>
        <v>0</v>
      </c>
      <c r="B20" s="219"/>
      <c r="C20" s="75"/>
      <c r="D20" s="615"/>
      <c r="E20" s="280"/>
    </row>
    <row r="21" spans="1:5" ht="15.75">
      <c r="A21" s="277">
        <f>inputPrYr!B23</f>
        <v>0</v>
      </c>
      <c r="B21" s="219"/>
      <c r="C21" s="75"/>
      <c r="D21" s="615"/>
      <c r="E21" s="280"/>
    </row>
    <row r="22" spans="1:5" ht="15.75">
      <c r="A22" s="277"/>
      <c r="B22" s="219"/>
      <c r="C22" s="75"/>
      <c r="D22" s="615"/>
      <c r="E22" s="280"/>
    </row>
    <row r="23" spans="1:5" ht="15.75">
      <c r="A23" s="277"/>
      <c r="B23" s="219"/>
      <c r="C23" s="75"/>
      <c r="D23" s="615"/>
      <c r="E23" s="280"/>
    </row>
    <row r="24" spans="1:5" ht="15.75">
      <c r="A24" s="92"/>
      <c r="B24" s="206" t="s">
        <v>164</v>
      </c>
      <c r="C24" s="282"/>
      <c r="D24" s="283">
        <f>SUM(D18:D23)</f>
        <v>0</v>
      </c>
      <c r="E24" s="92"/>
    </row>
    <row r="25" spans="1:5" ht="15">
      <c r="A25" s="92"/>
      <c r="B25" s="92"/>
      <c r="C25" s="92"/>
      <c r="D25" s="92"/>
      <c r="E25" s="92"/>
    </row>
    <row r="26" spans="1:5" ht="15.75">
      <c r="A26" s="206" t="str">
        <f>CONCATENATE("Final Assessed Valuation from the November 1, ",E1-2," Abstract")</f>
        <v>Final Assessed Valuation from the November 1, -2 Abstract</v>
      </c>
      <c r="B26" s="284"/>
      <c r="C26" s="284"/>
      <c r="D26" s="284"/>
      <c r="E26" s="57"/>
    </row>
    <row r="27" spans="1:5" ht="15">
      <c r="A27" s="92"/>
      <c r="B27" s="92"/>
      <c r="C27" s="92"/>
      <c r="D27" s="92"/>
      <c r="E27" s="92"/>
    </row>
    <row r="28" spans="1:5" ht="15.75">
      <c r="A28" s="670" t="str">
        <f>CONCATENATE("From the County Treasurer's Budget Information - ",E1," Budget Year Estimates:")</f>
        <v>From the County Treasurer's Budget Information - 0 Budget Year Estimates:</v>
      </c>
      <c r="B28" s="305"/>
      <c r="C28" s="305"/>
      <c r="D28" s="671"/>
      <c r="E28" s="136"/>
    </row>
    <row r="29" spans="1:5" ht="15.75">
      <c r="A29" s="276" t="s">
        <v>12</v>
      </c>
      <c r="B29" s="206"/>
      <c r="C29" s="206"/>
      <c r="D29" s="285"/>
      <c r="E29" s="61"/>
    </row>
    <row r="30" spans="1:5" ht="15.75">
      <c r="A30" s="277" t="s">
        <v>13</v>
      </c>
      <c r="B30" s="219"/>
      <c r="C30" s="219"/>
      <c r="D30" s="242"/>
      <c r="E30" s="61"/>
    </row>
    <row r="31" spans="1:5" ht="15.75">
      <c r="A31" s="277" t="s">
        <v>149</v>
      </c>
      <c r="B31" s="219"/>
      <c r="C31" s="219"/>
      <c r="D31" s="242"/>
      <c r="E31" s="61"/>
    </row>
    <row r="32" spans="1:5" ht="15.75">
      <c r="A32" s="277" t="s">
        <v>714</v>
      </c>
      <c r="B32" s="219"/>
      <c r="C32" s="219"/>
      <c r="D32" s="242"/>
      <c r="E32" s="61"/>
    </row>
    <row r="33" spans="1:5" ht="15.75">
      <c r="A33" s="277" t="s">
        <v>715</v>
      </c>
      <c r="B33" s="219"/>
      <c r="C33" s="219"/>
      <c r="D33" s="242"/>
      <c r="E33" s="61"/>
    </row>
    <row r="34" spans="1:5" ht="15.75">
      <c r="A34" s="277" t="s">
        <v>137</v>
      </c>
      <c r="B34" s="219"/>
      <c r="C34" s="219"/>
      <c r="D34" s="242"/>
      <c r="E34" s="61"/>
    </row>
    <row r="35" spans="1:5" ht="15.75">
      <c r="A35" s="1" t="s">
        <v>150</v>
      </c>
      <c r="B35" s="1"/>
      <c r="C35" s="1"/>
      <c r="D35" s="1"/>
      <c r="E35" s="1"/>
    </row>
    <row r="36" spans="1:5" ht="15.75">
      <c r="A36" s="286" t="s">
        <v>107</v>
      </c>
      <c r="B36" s="7"/>
      <c r="C36" s="7"/>
      <c r="D36" s="1"/>
      <c r="E36" s="1"/>
    </row>
    <row r="37" spans="1:5" ht="15.75">
      <c r="A37" s="287" t="str">
        <f>CONCATENATE("Actual Delinquency for ",E1-3," Tax - (e.g. rate .01213 = 1.213%;  key in 1.2)")</f>
        <v>Actual Delinquency for -3 Tax - (e.g. rate .01213 = 1.213%;  key in 1.2)</v>
      </c>
      <c r="B37" s="75"/>
      <c r="C37" s="75"/>
      <c r="D37" s="75"/>
      <c r="E37" s="1"/>
    </row>
    <row r="38" spans="1:5" ht="15.75">
      <c r="A38" s="287" t="s">
        <v>165</v>
      </c>
      <c r="B38" s="287"/>
      <c r="C38" s="75"/>
      <c r="D38" s="75"/>
      <c r="E38" s="535">
        <v>0</v>
      </c>
    </row>
    <row r="39" spans="1:5" ht="15.75">
      <c r="A39" s="288" t="s">
        <v>151</v>
      </c>
      <c r="B39" s="288"/>
      <c r="C39" s="289"/>
      <c r="D39" s="289"/>
      <c r="E39" s="290"/>
    </row>
    <row r="40" spans="1:5" ht="15">
      <c r="A40" s="203"/>
      <c r="B40" s="203"/>
      <c r="C40" s="203"/>
      <c r="D40" s="203"/>
      <c r="E40" s="203"/>
    </row>
    <row r="41" spans="1:5" ht="15.75">
      <c r="A41" s="770" t="str">
        <f>CONCATENATE("From the ",E1-2," Budget Certificate Page")</f>
        <v>From the -2 Budget Certificate Page</v>
      </c>
      <c r="B41" s="771"/>
      <c r="C41" s="203"/>
      <c r="D41" s="203"/>
      <c r="E41" s="203"/>
    </row>
    <row r="42" spans="1:5" ht="15.75">
      <c r="A42" s="291"/>
      <c r="B42" s="291" t="str">
        <f>CONCATENATE("",E1-2," Expenditure Amounts")</f>
        <v>-2 Expenditure Amounts</v>
      </c>
      <c r="C42" s="772" t="str">
        <f>CONCATENATE("Note: If the ",E1-2," budget was amended, then the")</f>
        <v>Note: If the -2 budget was amended, then the</v>
      </c>
      <c r="D42" s="773"/>
      <c r="E42" s="773"/>
    </row>
    <row r="43" spans="1:5" ht="15.75">
      <c r="A43" s="292" t="s">
        <v>169</v>
      </c>
      <c r="B43" s="292" t="s">
        <v>170</v>
      </c>
      <c r="C43" s="293" t="s">
        <v>171</v>
      </c>
      <c r="D43" s="294"/>
      <c r="E43" s="294"/>
    </row>
    <row r="44" spans="1:5" ht="15.75">
      <c r="A44" s="295" t="str">
        <f>inputPrYr!B19</f>
        <v>General</v>
      </c>
      <c r="B44" s="57"/>
      <c r="C44" s="293" t="s">
        <v>172</v>
      </c>
      <c r="D44" s="294"/>
      <c r="E44" s="294"/>
    </row>
    <row r="45" spans="1:5" ht="15.75">
      <c r="A45" s="295" t="str">
        <f>inputPrYr!B20</f>
        <v>Debt Service</v>
      </c>
      <c r="B45" s="57"/>
      <c r="C45" s="293"/>
      <c r="D45" s="294"/>
      <c r="E45" s="294"/>
    </row>
    <row r="46" spans="1:5" ht="15.75">
      <c r="A46" s="295">
        <f>inputPrYr!B22</f>
        <v>0</v>
      </c>
      <c r="B46" s="57"/>
      <c r="C46" s="203"/>
      <c r="D46" s="203"/>
      <c r="E46" s="203"/>
    </row>
    <row r="47" spans="1:5" ht="15.75">
      <c r="A47" s="295">
        <f>inputPrYr!B23</f>
        <v>0</v>
      </c>
      <c r="B47" s="57"/>
      <c r="C47" s="203"/>
      <c r="D47" s="203"/>
      <c r="E47" s="203"/>
    </row>
    <row r="48" spans="1:5" ht="15.75">
      <c r="A48" s="295">
        <f>inputPrYr!B26</f>
        <v>0</v>
      </c>
      <c r="B48" s="57"/>
      <c r="C48" s="203"/>
      <c r="D48" s="203"/>
      <c r="E48" s="203"/>
    </row>
    <row r="49" spans="1:5" ht="15.75">
      <c r="A49" s="295">
        <f>inputPrYr!B27</f>
        <v>0</v>
      </c>
      <c r="B49" s="57"/>
      <c r="C49" s="203"/>
      <c r="D49" s="203"/>
      <c r="E49" s="203"/>
    </row>
  </sheetData>
  <sheetProtection sheet="1"/>
  <mergeCells count="4">
    <mergeCell ref="A17:B17"/>
    <mergeCell ref="A4:E4"/>
    <mergeCell ref="A41:B41"/>
    <mergeCell ref="C42:E42"/>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N66" sqref="N66"/>
    </sheetView>
  </sheetViews>
  <sheetFormatPr defaultColWidth="8.796875" defaultRowHeight="15"/>
  <cols>
    <col min="1" max="1" width="71.19921875" style="0" customWidth="1"/>
  </cols>
  <sheetData>
    <row r="1" ht="16.5">
      <c r="A1" s="381" t="s">
        <v>511</v>
      </c>
    </row>
    <row r="3" ht="31.5">
      <c r="A3" s="382" t="s">
        <v>512</v>
      </c>
    </row>
    <row r="4" ht="15.75">
      <c r="A4" s="383" t="s">
        <v>513</v>
      </c>
    </row>
    <row r="7" ht="31.5">
      <c r="A7" s="382" t="s">
        <v>514</v>
      </c>
    </row>
    <row r="8" ht="15.75">
      <c r="A8" s="383" t="s">
        <v>515</v>
      </c>
    </row>
    <row r="11" ht="15.75">
      <c r="A11" s="384" t="s">
        <v>516</v>
      </c>
    </row>
    <row r="12" ht="15.75">
      <c r="A12" s="383" t="s">
        <v>517</v>
      </c>
    </row>
    <row r="15" ht="15.75">
      <c r="A15" s="384" t="s">
        <v>518</v>
      </c>
    </row>
    <row r="16" ht="15.75">
      <c r="A16" s="383" t="s">
        <v>519</v>
      </c>
    </row>
    <row r="19" ht="15.75">
      <c r="A19" s="384" t="s">
        <v>520</v>
      </c>
    </row>
    <row r="20" ht="15.75">
      <c r="A20" s="383" t="s">
        <v>521</v>
      </c>
    </row>
    <row r="23" ht="15.75">
      <c r="A23" s="384" t="s">
        <v>522</v>
      </c>
    </row>
    <row r="24" ht="15.75">
      <c r="A24" s="383" t="s">
        <v>523</v>
      </c>
    </row>
    <row r="27" ht="15.75">
      <c r="A27" s="384" t="s">
        <v>524</v>
      </c>
    </row>
    <row r="28" ht="15.75">
      <c r="A28" s="383" t="s">
        <v>525</v>
      </c>
    </row>
    <row r="31" ht="15.75">
      <c r="A31" s="384" t="s">
        <v>526</v>
      </c>
    </row>
    <row r="32" ht="15.75">
      <c r="A32" s="383" t="s">
        <v>527</v>
      </c>
    </row>
    <row r="35" ht="15.75">
      <c r="A35" s="384" t="s">
        <v>528</v>
      </c>
    </row>
    <row r="36" ht="15.75">
      <c r="A36" s="383" t="s">
        <v>529</v>
      </c>
    </row>
    <row r="39" ht="15.75">
      <c r="A39" s="384" t="s">
        <v>530</v>
      </c>
    </row>
    <row r="40" ht="15.75">
      <c r="A40" s="383" t="s">
        <v>531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K160" sqref="K160"/>
    </sheetView>
  </sheetViews>
  <sheetFormatPr defaultColWidth="8.796875" defaultRowHeight="15"/>
  <cols>
    <col min="1" max="1" width="86.59765625" style="76" customWidth="1"/>
    <col min="2" max="2" width="14.59765625" style="76" customWidth="1"/>
    <col min="3" max="3" width="14.19921875" style="76" customWidth="1"/>
    <col min="4" max="16384" width="8.8984375" style="76" customWidth="1"/>
  </cols>
  <sheetData>
    <row r="1" ht="15.75">
      <c r="A1" s="721" t="s">
        <v>859</v>
      </c>
    </row>
    <row r="2" ht="15.75">
      <c r="A2" s="720" t="s">
        <v>860</v>
      </c>
    </row>
    <row r="4" ht="15.75">
      <c r="A4" s="721" t="s">
        <v>742</v>
      </c>
    </row>
    <row r="5" ht="15.75">
      <c r="A5" s="519" t="s">
        <v>743</v>
      </c>
    </row>
    <row r="7" ht="15.75">
      <c r="A7" s="721" t="s">
        <v>740</v>
      </c>
    </row>
    <row r="8" ht="15.75">
      <c r="A8" s="519" t="s">
        <v>741</v>
      </c>
    </row>
    <row r="10" ht="15.75">
      <c r="A10" s="721" t="s">
        <v>731</v>
      </c>
    </row>
    <row r="11" ht="15.75">
      <c r="A11" s="720" t="s">
        <v>744</v>
      </c>
    </row>
    <row r="12" ht="15.75">
      <c r="A12" s="720" t="s">
        <v>745</v>
      </c>
    </row>
    <row r="13" ht="15.75">
      <c r="A13" s="720" t="s">
        <v>746</v>
      </c>
    </row>
    <row r="14" ht="15.75">
      <c r="A14" s="720" t="s">
        <v>747</v>
      </c>
    </row>
    <row r="15" ht="15.75">
      <c r="A15" s="720" t="s">
        <v>748</v>
      </c>
    </row>
    <row r="17" ht="15.75">
      <c r="A17" s="345" t="s">
        <v>749</v>
      </c>
    </row>
    <row r="18" ht="15.75">
      <c r="A18" s="606" t="s">
        <v>729</v>
      </c>
    </row>
    <row r="20" ht="15.75">
      <c r="A20" s="345" t="s">
        <v>750</v>
      </c>
    </row>
    <row r="21" ht="15.75">
      <c r="A21" s="606" t="s">
        <v>728</v>
      </c>
    </row>
    <row r="23" ht="15.75">
      <c r="A23" s="345" t="s">
        <v>751</v>
      </c>
    </row>
    <row r="24" ht="15.75">
      <c r="A24" s="76" t="s">
        <v>704</v>
      </c>
    </row>
    <row r="26" ht="15.75">
      <c r="A26" s="345" t="s">
        <v>752</v>
      </c>
    </row>
    <row r="27" ht="15.75">
      <c r="A27" s="606" t="s">
        <v>703</v>
      </c>
    </row>
    <row r="29" ht="15.75">
      <c r="A29" s="345" t="s">
        <v>753</v>
      </c>
    </row>
    <row r="30" ht="15.75">
      <c r="A30" s="625" t="s">
        <v>680</v>
      </c>
    </row>
    <row r="32" ht="15.75">
      <c r="A32" s="345" t="s">
        <v>754</v>
      </c>
    </row>
    <row r="33" ht="15.75">
      <c r="A33" s="76" t="s">
        <v>755</v>
      </c>
    </row>
    <row r="35" ht="15.75">
      <c r="A35" s="345" t="s">
        <v>756</v>
      </c>
    </row>
    <row r="36" ht="15.75">
      <c r="A36" s="606" t="s">
        <v>757</v>
      </c>
    </row>
    <row r="38" ht="15.75">
      <c r="A38" s="345" t="s">
        <v>758</v>
      </c>
    </row>
    <row r="39" ht="15.75">
      <c r="A39" s="607" t="s">
        <v>759</v>
      </c>
    </row>
    <row r="41" ht="15.75">
      <c r="A41" s="345" t="s">
        <v>760</v>
      </c>
    </row>
    <row r="42" ht="15.75">
      <c r="A42" s="76" t="s">
        <v>761</v>
      </c>
    </row>
    <row r="44" ht="15.75">
      <c r="A44" s="345" t="s">
        <v>762</v>
      </c>
    </row>
    <row r="45" ht="15.75">
      <c r="A45" s="607" t="s">
        <v>763</v>
      </c>
    </row>
    <row r="46" ht="15.75">
      <c r="A46" s="607" t="s">
        <v>764</v>
      </c>
    </row>
    <row r="47" ht="15.75">
      <c r="A47" s="606" t="s">
        <v>765</v>
      </c>
    </row>
    <row r="48" ht="15.75">
      <c r="A48" s="606" t="s">
        <v>766</v>
      </c>
    </row>
    <row r="49" ht="15.75">
      <c r="A49" s="606" t="s">
        <v>767</v>
      </c>
    </row>
    <row r="50" ht="15.75">
      <c r="A50" s="606" t="s">
        <v>768</v>
      </c>
    </row>
    <row r="51" ht="15.75">
      <c r="A51" s="606" t="s">
        <v>769</v>
      </c>
    </row>
    <row r="52" ht="15.75">
      <c r="A52" s="606" t="s">
        <v>770</v>
      </c>
    </row>
    <row r="53" ht="15.75">
      <c r="A53" s="606" t="s">
        <v>771</v>
      </c>
    </row>
    <row r="54" ht="15.75">
      <c r="A54" s="606" t="s">
        <v>772</v>
      </c>
    </row>
    <row r="55" ht="47.25">
      <c r="A55" s="605" t="s">
        <v>773</v>
      </c>
    </row>
    <row r="56" ht="31.5">
      <c r="A56" s="605" t="s">
        <v>774</v>
      </c>
    </row>
    <row r="57" ht="15.75">
      <c r="A57" s="606" t="s">
        <v>775</v>
      </c>
    </row>
    <row r="58" ht="15.75">
      <c r="A58" s="606" t="s">
        <v>776</v>
      </c>
    </row>
    <row r="59" ht="15.75">
      <c r="A59" s="606" t="s">
        <v>777</v>
      </c>
    </row>
    <row r="60" ht="15.75">
      <c r="A60" s="606" t="s">
        <v>778</v>
      </c>
    </row>
    <row r="61" ht="15.75">
      <c r="A61" s="606" t="s">
        <v>779</v>
      </c>
    </row>
    <row r="62" ht="15.75">
      <c r="A62" s="606" t="s">
        <v>780</v>
      </c>
    </row>
    <row r="63" ht="15.75">
      <c r="A63" s="606" t="s">
        <v>781</v>
      </c>
    </row>
    <row r="64" ht="15.75">
      <c r="A64" s="606" t="s">
        <v>782</v>
      </c>
    </row>
    <row r="65" ht="15.75">
      <c r="A65" s="606" t="s">
        <v>783</v>
      </c>
    </row>
    <row r="66" ht="15.75">
      <c r="A66" s="606" t="s">
        <v>784</v>
      </c>
    </row>
    <row r="68" ht="15.75">
      <c r="A68" s="345" t="s">
        <v>785</v>
      </c>
    </row>
    <row r="69" ht="15.75">
      <c r="A69" s="434" t="s">
        <v>786</v>
      </c>
    </row>
    <row r="70" ht="15.75">
      <c r="A70" s="434" t="s">
        <v>787</v>
      </c>
    </row>
    <row r="72" ht="15.75">
      <c r="A72" s="363" t="s">
        <v>788</v>
      </c>
    </row>
    <row r="73" ht="15.75">
      <c r="A73" s="434" t="s">
        <v>789</v>
      </c>
    </row>
    <row r="74" ht="15.75">
      <c r="A74" s="434" t="s">
        <v>790</v>
      </c>
    </row>
    <row r="75" ht="31.5">
      <c r="A75" s="433" t="s">
        <v>791</v>
      </c>
    </row>
    <row r="76" ht="15.75">
      <c r="A76" s="434" t="s">
        <v>792</v>
      </c>
    </row>
    <row r="77" ht="15.75">
      <c r="A77" s="434" t="s">
        <v>793</v>
      </c>
    </row>
    <row r="78" ht="15.75">
      <c r="A78" s="434" t="s">
        <v>794</v>
      </c>
    </row>
    <row r="79" ht="15.75">
      <c r="A79" s="434" t="s">
        <v>795</v>
      </c>
    </row>
    <row r="80" ht="15.75">
      <c r="A80" s="434" t="s">
        <v>796</v>
      </c>
    </row>
    <row r="81" ht="15.75">
      <c r="A81" s="434" t="s">
        <v>797</v>
      </c>
    </row>
    <row r="82" ht="15.75">
      <c r="A82" s="434" t="s">
        <v>798</v>
      </c>
    </row>
    <row r="83" ht="15.75">
      <c r="A83" s="434" t="s">
        <v>799</v>
      </c>
    </row>
    <row r="84" ht="15.75">
      <c r="A84" s="434" t="s">
        <v>800</v>
      </c>
    </row>
    <row r="85" ht="15.75">
      <c r="A85" s="434" t="s">
        <v>614</v>
      </c>
    </row>
    <row r="86" ht="15.75">
      <c r="A86" s="434" t="s">
        <v>801</v>
      </c>
    </row>
    <row r="87" ht="15.75">
      <c r="A87" s="434" t="s">
        <v>802</v>
      </c>
    </row>
    <row r="88" ht="15.75">
      <c r="A88" s="434" t="s">
        <v>803</v>
      </c>
    </row>
    <row r="89" ht="15.75">
      <c r="A89" s="434" t="s">
        <v>804</v>
      </c>
    </row>
    <row r="90" ht="15.75">
      <c r="A90" s="434" t="s">
        <v>805</v>
      </c>
    </row>
    <row r="91" ht="15.75">
      <c r="A91" s="434" t="s">
        <v>806</v>
      </c>
    </row>
    <row r="92" ht="15.75">
      <c r="A92" s="434" t="s">
        <v>807</v>
      </c>
    </row>
    <row r="93" ht="15.75">
      <c r="A93" s="434" t="s">
        <v>808</v>
      </c>
    </row>
    <row r="94" ht="15.75">
      <c r="A94" s="434" t="s">
        <v>809</v>
      </c>
    </row>
    <row r="95" ht="15.75">
      <c r="A95" s="434" t="s">
        <v>810</v>
      </c>
    </row>
    <row r="97" ht="15.75">
      <c r="A97" s="363" t="s">
        <v>811</v>
      </c>
    </row>
    <row r="98" ht="15.75">
      <c r="A98" s="76" t="s">
        <v>812</v>
      </c>
    </row>
    <row r="99" ht="15.75">
      <c r="A99" s="76" t="s">
        <v>813</v>
      </c>
    </row>
    <row r="100" ht="15.75">
      <c r="A100" s="76" t="s">
        <v>814</v>
      </c>
    </row>
    <row r="102" ht="15.75">
      <c r="A102" s="363" t="s">
        <v>815</v>
      </c>
    </row>
    <row r="103" ht="15.75">
      <c r="A103" s="76" t="s">
        <v>816</v>
      </c>
    </row>
    <row r="105" ht="15.75">
      <c r="A105" s="345" t="s">
        <v>817</v>
      </c>
    </row>
    <row r="106" ht="15.75">
      <c r="A106" s="346" t="s">
        <v>818</v>
      </c>
    </row>
    <row r="107" ht="15.75">
      <c r="A107" s="346" t="s">
        <v>819</v>
      </c>
    </row>
    <row r="108" ht="15.75">
      <c r="A108" s="346" t="s">
        <v>820</v>
      </c>
    </row>
    <row r="109" ht="15.75">
      <c r="A109" s="76" t="s">
        <v>821</v>
      </c>
    </row>
    <row r="111" ht="15.75">
      <c r="A111" s="308" t="s">
        <v>822</v>
      </c>
    </row>
    <row r="112" ht="15.75">
      <c r="A112" s="328" t="s">
        <v>823</v>
      </c>
    </row>
    <row r="113" ht="15.75">
      <c r="A113" s="328" t="s">
        <v>824</v>
      </c>
    </row>
    <row r="114" ht="15.75">
      <c r="A114" s="328" t="s">
        <v>825</v>
      </c>
    </row>
    <row r="115" ht="15.75">
      <c r="A115" s="328" t="s">
        <v>826</v>
      </c>
    </row>
    <row r="116" ht="15.75">
      <c r="A116" s="328" t="s">
        <v>827</v>
      </c>
    </row>
    <row r="117" ht="15.75">
      <c r="A117" s="328" t="s">
        <v>828</v>
      </c>
    </row>
    <row r="118" ht="15.75">
      <c r="A118" s="331" t="s">
        <v>829</v>
      </c>
    </row>
    <row r="120" ht="15.75">
      <c r="A120" s="308" t="s">
        <v>830</v>
      </c>
    </row>
    <row r="121" ht="15.75">
      <c r="A121" s="76" t="s">
        <v>831</v>
      </c>
    </row>
    <row r="122" ht="15.75">
      <c r="A122" s="76" t="s">
        <v>832</v>
      </c>
    </row>
    <row r="123" ht="15.75">
      <c r="A123" s="76" t="s">
        <v>833</v>
      </c>
    </row>
    <row r="124" ht="15.75">
      <c r="A124" s="76" t="s">
        <v>834</v>
      </c>
    </row>
    <row r="125" ht="15.75">
      <c r="A125" s="76" t="s">
        <v>835</v>
      </c>
    </row>
    <row r="127" ht="15.75">
      <c r="A127" s="309" t="s">
        <v>836</v>
      </c>
    </row>
    <row r="128" ht="15.75">
      <c r="A128" s="76" t="s">
        <v>837</v>
      </c>
    </row>
    <row r="129" ht="15.75">
      <c r="A129" s="76" t="s">
        <v>229</v>
      </c>
    </row>
    <row r="130" ht="15.75">
      <c r="A130" s="76" t="s">
        <v>838</v>
      </c>
    </row>
    <row r="131" ht="15.75">
      <c r="A131" s="76" t="s">
        <v>839</v>
      </c>
    </row>
    <row r="133" ht="15.75">
      <c r="A133" s="309" t="s">
        <v>840</v>
      </c>
    </row>
    <row r="134" ht="15.75">
      <c r="A134" s="76" t="s">
        <v>841</v>
      </c>
    </row>
    <row r="135" ht="15.75">
      <c r="A135" s="76" t="s">
        <v>842</v>
      </c>
    </row>
    <row r="136" ht="15.75">
      <c r="A136" s="76" t="s">
        <v>843</v>
      </c>
    </row>
    <row r="138" ht="15.75">
      <c r="A138" s="309" t="s">
        <v>844</v>
      </c>
    </row>
    <row r="139" ht="15.75">
      <c r="A139" s="76" t="s">
        <v>224</v>
      </c>
    </row>
    <row r="140" ht="15.75">
      <c r="A140" s="76" t="s">
        <v>225</v>
      </c>
    </row>
    <row r="142" ht="15.75">
      <c r="A142" s="309" t="s">
        <v>205</v>
      </c>
    </row>
    <row r="143" ht="15.75">
      <c r="A143" s="76" t="s">
        <v>206</v>
      </c>
    </row>
    <row r="144" ht="36" customHeight="1">
      <c r="A144" s="310" t="s">
        <v>207</v>
      </c>
    </row>
    <row r="145" ht="15.75" customHeight="1">
      <c r="A145" s="76" t="s">
        <v>208</v>
      </c>
    </row>
    <row r="146" ht="15.75" customHeight="1">
      <c r="A146" s="76" t="s">
        <v>209</v>
      </c>
    </row>
    <row r="147" ht="15.75" customHeight="1">
      <c r="A147" s="76" t="s">
        <v>210</v>
      </c>
    </row>
    <row r="148" ht="15.75" customHeight="1">
      <c r="A148" s="76" t="s">
        <v>211</v>
      </c>
    </row>
    <row r="149" ht="32.25" customHeight="1">
      <c r="A149" s="310" t="s">
        <v>212</v>
      </c>
    </row>
    <row r="150" ht="34.5" customHeight="1">
      <c r="A150" s="310" t="s">
        <v>213</v>
      </c>
    </row>
    <row r="151" ht="37.5" customHeight="1">
      <c r="A151" s="310" t="s">
        <v>214</v>
      </c>
    </row>
    <row r="152" ht="15.75" customHeight="1">
      <c r="A152" s="310" t="s">
        <v>215</v>
      </c>
    </row>
    <row r="153" ht="15.75" customHeight="1">
      <c r="A153" s="310" t="s">
        <v>216</v>
      </c>
    </row>
    <row r="154" ht="15.75">
      <c r="A154" s="76" t="s">
        <v>217</v>
      </c>
    </row>
    <row r="155" ht="15.75">
      <c r="A155" s="76" t="s">
        <v>218</v>
      </c>
    </row>
    <row r="156" ht="15.75">
      <c r="A156" s="76" t="s">
        <v>219</v>
      </c>
    </row>
    <row r="157" ht="15.75">
      <c r="A157" s="76" t="s">
        <v>220</v>
      </c>
    </row>
    <row r="158" ht="15.75">
      <c r="A158" s="76" t="s">
        <v>221</v>
      </c>
    </row>
    <row r="160" ht="15.75">
      <c r="A160" s="309" t="s">
        <v>152</v>
      </c>
    </row>
    <row r="161" ht="15.75">
      <c r="A161" s="76" t="s">
        <v>845</v>
      </c>
    </row>
    <row r="162" ht="15.75">
      <c r="A162" s="76" t="s">
        <v>846</v>
      </c>
    </row>
    <row r="163" ht="15.75">
      <c r="A163" s="76" t="s">
        <v>847</v>
      </c>
    </row>
    <row r="164" ht="15.75">
      <c r="A164" s="76" t="s">
        <v>848</v>
      </c>
    </row>
    <row r="165" ht="15.75">
      <c r="A165" s="76" t="s">
        <v>849</v>
      </c>
    </row>
    <row r="166" ht="15.75">
      <c r="A166" s="76" t="s">
        <v>850</v>
      </c>
    </row>
    <row r="167" ht="15.75">
      <c r="A167" s="76" t="s">
        <v>851</v>
      </c>
    </row>
    <row r="168" ht="15.75">
      <c r="A168" s="76" t="s">
        <v>852</v>
      </c>
    </row>
    <row r="169" ht="15.75">
      <c r="A169" s="76" t="s">
        <v>853</v>
      </c>
    </row>
    <row r="170" ht="15.75">
      <c r="A170" s="76" t="s">
        <v>160</v>
      </c>
    </row>
    <row r="171" ht="15.75">
      <c r="A171" s="76" t="s">
        <v>854</v>
      </c>
    </row>
    <row r="172" ht="15.75">
      <c r="A172" s="76" t="s">
        <v>855</v>
      </c>
    </row>
    <row r="173" ht="15.75">
      <c r="A173" s="76" t="s">
        <v>856</v>
      </c>
    </row>
    <row r="174" ht="15.75">
      <c r="A174" s="76" t="s">
        <v>857</v>
      </c>
    </row>
    <row r="175" ht="15.75">
      <c r="A175" s="76" t="s">
        <v>167</v>
      </c>
    </row>
    <row r="176" ht="15.75">
      <c r="A176" s="76" t="s">
        <v>252</v>
      </c>
    </row>
    <row r="177" ht="15.75">
      <c r="A177" s="76" t="s">
        <v>0</v>
      </c>
    </row>
    <row r="178" ht="15.75">
      <c r="A178" s="76" t="s">
        <v>1</v>
      </c>
    </row>
    <row r="179" ht="15.75">
      <c r="A179" s="76" t="s">
        <v>2</v>
      </c>
    </row>
    <row r="180" ht="15.75">
      <c r="A180" s="76" t="s">
        <v>253</v>
      </c>
    </row>
    <row r="181" ht="15.75">
      <c r="A181" s="76" t="s">
        <v>173</v>
      </c>
    </row>
    <row r="182" ht="15.75">
      <c r="A182" s="76" t="s">
        <v>174</v>
      </c>
    </row>
    <row r="183" ht="15.75">
      <c r="A183" s="76" t="s">
        <v>3</v>
      </c>
    </row>
    <row r="184" ht="15.75">
      <c r="A184" s="76" t="s">
        <v>4</v>
      </c>
    </row>
    <row r="185" ht="15.75">
      <c r="A185" s="76" t="s">
        <v>182</v>
      </c>
    </row>
    <row r="186" ht="15.75">
      <c r="A186" s="76" t="s">
        <v>183</v>
      </c>
    </row>
    <row r="187" ht="15.75">
      <c r="A187" s="76"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S72" sqref="S72"/>
    </sheetView>
  </sheetViews>
  <sheetFormatPr defaultColWidth="8.796875" defaultRowHeight="15"/>
  <cols>
    <col min="1" max="1" width="13.796875" style="0" customWidth="1"/>
    <col min="2" max="2" width="16.09765625" style="0" customWidth="1"/>
    <col min="8" max="8" width="9.19921875" style="0" bestFit="1" customWidth="1"/>
  </cols>
  <sheetData>
    <row r="1" ht="15">
      <c r="J1" s="521" t="s">
        <v>639</v>
      </c>
    </row>
    <row r="2" spans="1:10" ht="54" customHeight="1">
      <c r="A2" s="774" t="s">
        <v>280</v>
      </c>
      <c r="B2" s="775"/>
      <c r="C2" s="775"/>
      <c r="D2" s="775"/>
      <c r="E2" s="775"/>
      <c r="F2" s="775"/>
      <c r="J2" s="521" t="s">
        <v>640</v>
      </c>
    </row>
    <row r="3" spans="1:10" ht="15" customHeight="1">
      <c r="A3" s="435"/>
      <c r="B3" s="436"/>
      <c r="C3" s="436"/>
      <c r="D3" s="436"/>
      <c r="E3" s="436"/>
      <c r="F3" s="436"/>
      <c r="J3" s="521" t="s">
        <v>641</v>
      </c>
    </row>
    <row r="4" spans="1:10" ht="15" customHeight="1">
      <c r="A4" s="519" t="s">
        <v>637</v>
      </c>
      <c r="B4" s="616"/>
      <c r="C4" s="617"/>
      <c r="D4" s="436"/>
      <c r="E4" s="436"/>
      <c r="F4" s="436"/>
      <c r="J4" s="521" t="s">
        <v>642</v>
      </c>
    </row>
    <row r="5" spans="1:10" ht="15" customHeight="1">
      <c r="A5" s="520"/>
      <c r="B5" s="520"/>
      <c r="C5" s="520"/>
      <c r="D5" s="436"/>
      <c r="E5" s="436"/>
      <c r="F5" s="436"/>
      <c r="J5" s="521" t="s">
        <v>643</v>
      </c>
    </row>
    <row r="6" spans="1:10" ht="15" customHeight="1">
      <c r="A6" s="519" t="s">
        <v>638</v>
      </c>
      <c r="B6" s="618"/>
      <c r="C6" s="520"/>
      <c r="J6" s="521" t="s">
        <v>644</v>
      </c>
    </row>
    <row r="7" spans="1:10" ht="15.75">
      <c r="A7" s="332"/>
      <c r="B7" s="332"/>
      <c r="C7" s="332"/>
      <c r="D7" s="333"/>
      <c r="E7" s="332"/>
      <c r="F7" s="332"/>
      <c r="J7" s="521" t="s">
        <v>645</v>
      </c>
    </row>
    <row r="8" spans="1:10" ht="15.75">
      <c r="A8" s="334" t="s">
        <v>281</v>
      </c>
      <c r="B8" s="619"/>
      <c r="C8" s="335"/>
      <c r="D8" s="334" t="s">
        <v>651</v>
      </c>
      <c r="E8" s="332"/>
      <c r="F8" s="332"/>
      <c r="J8" s="521" t="s">
        <v>646</v>
      </c>
    </row>
    <row r="9" spans="1:10" ht="15.75">
      <c r="A9" s="334"/>
      <c r="B9" s="336"/>
      <c r="C9" s="337"/>
      <c r="D9" s="522">
        <f>IF(B8="","",CONCATENATE("Latest date for notice to be published in your newspaper: ",H19," ",H23,", ",H24))</f>
      </c>
      <c r="E9" s="332"/>
      <c r="F9" s="332"/>
      <c r="J9" s="521" t="s">
        <v>647</v>
      </c>
    </row>
    <row r="10" spans="1:10" ht="15.75">
      <c r="A10" s="334" t="s">
        <v>282</v>
      </c>
      <c r="B10" s="619"/>
      <c r="C10" s="338"/>
      <c r="D10" s="334"/>
      <c r="E10" s="332"/>
      <c r="F10" s="332"/>
      <c r="J10" s="521" t="s">
        <v>648</v>
      </c>
    </row>
    <row r="11" spans="1:10" ht="15.75">
      <c r="A11" s="334"/>
      <c r="B11" s="334"/>
      <c r="C11" s="334"/>
      <c r="D11" s="334"/>
      <c r="E11" s="332"/>
      <c r="F11" s="332"/>
      <c r="J11" s="521" t="s">
        <v>649</v>
      </c>
    </row>
    <row r="12" spans="1:10" ht="15.75">
      <c r="A12" s="334" t="s">
        <v>283</v>
      </c>
      <c r="B12" s="620"/>
      <c r="C12" s="621"/>
      <c r="D12" s="621"/>
      <c r="E12" s="622"/>
      <c r="F12" s="332"/>
      <c r="J12" s="521" t="s">
        <v>650</v>
      </c>
    </row>
    <row r="13" spans="1:6" ht="15.75">
      <c r="A13" s="334"/>
      <c r="B13" s="334"/>
      <c r="C13" s="334"/>
      <c r="D13" s="334"/>
      <c r="E13" s="332"/>
      <c r="F13" s="332"/>
    </row>
    <row r="14" spans="1:6" ht="15.75">
      <c r="A14" s="334"/>
      <c r="B14" s="334"/>
      <c r="C14" s="334"/>
      <c r="D14" s="334"/>
      <c r="E14" s="332"/>
      <c r="F14" s="332"/>
    </row>
    <row r="15" spans="1:6" ht="15.75">
      <c r="A15" s="334" t="s">
        <v>284</v>
      </c>
      <c r="B15" s="620"/>
      <c r="C15" s="621"/>
      <c r="D15" s="621"/>
      <c r="E15" s="622"/>
      <c r="F15" s="332"/>
    </row>
    <row r="18" spans="1:6" ht="15.75">
      <c r="A18" s="776" t="s">
        <v>285</v>
      </c>
      <c r="B18" s="776"/>
      <c r="C18" s="334"/>
      <c r="D18" s="334"/>
      <c r="E18" s="334"/>
      <c r="F18" s="332"/>
    </row>
    <row r="19" spans="1:8" ht="15.75">
      <c r="A19" s="334"/>
      <c r="B19" s="334"/>
      <c r="C19" s="334"/>
      <c r="D19" s="334"/>
      <c r="E19" s="334"/>
      <c r="F19" s="332"/>
      <c r="H19" s="521">
        <f ca="1">IF(B8="","",INDIRECT(H20))</f>
      </c>
    </row>
    <row r="20" spans="1:8" ht="15.75">
      <c r="A20" s="334" t="s">
        <v>281</v>
      </c>
      <c r="B20" s="336" t="s">
        <v>286</v>
      </c>
      <c r="C20" s="334"/>
      <c r="D20" s="334"/>
      <c r="E20" s="334"/>
      <c r="H20" s="523">
        <f>IF(B8="","",CONCATENATE("J",H22))</f>
      </c>
    </row>
    <row r="21" spans="1:8" ht="15.75">
      <c r="A21" s="334"/>
      <c r="B21" s="334"/>
      <c r="C21" s="334"/>
      <c r="D21" s="334"/>
      <c r="E21" s="334"/>
      <c r="H21" s="524">
        <f>B8-10</f>
        <v>-10</v>
      </c>
    </row>
    <row r="22" spans="1:8" ht="15.75">
      <c r="A22" s="334" t="s">
        <v>282</v>
      </c>
      <c r="B22" s="334" t="s">
        <v>287</v>
      </c>
      <c r="C22" s="334"/>
      <c r="D22" s="334"/>
      <c r="E22" s="334"/>
      <c r="H22" s="525">
        <f>IF(B8="","",MONTH(H21))</f>
      </c>
    </row>
    <row r="23" spans="1:8" ht="15.75">
      <c r="A23" s="334"/>
      <c r="B23" s="334"/>
      <c r="C23" s="334"/>
      <c r="D23" s="334"/>
      <c r="E23" s="334"/>
      <c r="H23" s="526">
        <f>IF(B8="","",DAY(H21))</f>
      </c>
    </row>
    <row r="24" spans="1:8" ht="15.75">
      <c r="A24" s="334" t="s">
        <v>283</v>
      </c>
      <c r="B24" s="334" t="s">
        <v>288</v>
      </c>
      <c r="C24" s="334"/>
      <c r="D24" s="334"/>
      <c r="E24" s="334"/>
      <c r="H24" s="527">
        <f>IF(B8="","",YEAR(H21))</f>
      </c>
    </row>
    <row r="25" spans="1:5" ht="15.75">
      <c r="A25" s="334"/>
      <c r="B25" s="334"/>
      <c r="C25" s="334"/>
      <c r="D25" s="334"/>
      <c r="E25" s="334"/>
    </row>
    <row r="26" spans="1:5" ht="15.75">
      <c r="A26" s="334" t="s">
        <v>284</v>
      </c>
      <c r="B26" s="334" t="s">
        <v>289</v>
      </c>
      <c r="C26" s="334"/>
      <c r="D26" s="334"/>
      <c r="E26" s="334"/>
    </row>
  </sheetData>
  <sheetProtection sheet="1" objects="1" scenarios="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T110" sqref="T110"/>
    </sheetView>
  </sheetViews>
  <sheetFormatPr defaultColWidth="8.796875" defaultRowHeight="15"/>
  <cols>
    <col min="1" max="1" width="11.796875" style="76" customWidth="1"/>
    <col min="2" max="3" width="9.796875" style="76" customWidth="1"/>
    <col min="4" max="4" width="8.796875" style="76" customWidth="1"/>
    <col min="5" max="6" width="14.796875" style="76" customWidth="1"/>
    <col min="7" max="7" width="10.796875" style="76" customWidth="1"/>
    <col min="8" max="8" width="2.69921875" style="76" customWidth="1"/>
    <col min="9" max="9" width="3.19921875" style="76" customWidth="1"/>
    <col min="10" max="16384" width="8.8984375" style="76" customWidth="1"/>
  </cols>
  <sheetData>
    <row r="1" spans="1:7" ht="15.75">
      <c r="A1" s="138"/>
      <c r="B1" s="138"/>
      <c r="C1" s="138"/>
      <c r="D1" s="138"/>
      <c r="E1" s="138"/>
      <c r="F1" s="138"/>
      <c r="G1" s="138"/>
    </row>
    <row r="2" spans="1:7" ht="15.75">
      <c r="A2" s="788" t="s">
        <v>76</v>
      </c>
      <c r="B2" s="788"/>
      <c r="C2" s="788"/>
      <c r="D2" s="788"/>
      <c r="E2" s="788"/>
      <c r="F2" s="788"/>
      <c r="G2" s="788"/>
    </row>
    <row r="3" spans="1:7" ht="15.75">
      <c r="A3" s="1"/>
      <c r="B3" s="1"/>
      <c r="C3" s="1"/>
      <c r="D3" s="1"/>
      <c r="E3" s="1"/>
      <c r="F3" s="1"/>
      <c r="G3" s="138">
        <f>inputPrYr!D6</f>
        <v>0</v>
      </c>
    </row>
    <row r="4" spans="1:7" ht="15.75">
      <c r="A4" s="789" t="str">
        <f>CONCATENATE("To the Clerk of ",inputPrYr!D4,", State of Kansas")</f>
        <v>To the Clerk of , State of Kansas</v>
      </c>
      <c r="B4" s="789"/>
      <c r="C4" s="789"/>
      <c r="D4" s="789"/>
      <c r="E4" s="789"/>
      <c r="F4" s="789"/>
      <c r="G4" s="789"/>
    </row>
    <row r="5" spans="1:7" ht="15.75">
      <c r="A5" s="173" t="s">
        <v>134</v>
      </c>
      <c r="B5" s="7"/>
      <c r="C5" s="7"/>
      <c r="D5" s="7"/>
      <c r="E5" s="7"/>
      <c r="F5" s="7"/>
      <c r="G5" s="7"/>
    </row>
    <row r="6" spans="1:7" ht="15.75">
      <c r="A6" s="757">
        <f>inputPrYr!D3</f>
        <v>0</v>
      </c>
      <c r="B6" s="757"/>
      <c r="C6" s="757"/>
      <c r="D6" s="757"/>
      <c r="E6" s="757"/>
      <c r="F6" s="757"/>
      <c r="G6" s="757"/>
    </row>
    <row r="7" spans="1:7" ht="15.75">
      <c r="A7" s="1"/>
      <c r="B7" s="1"/>
      <c r="C7" s="1"/>
      <c r="D7" s="1"/>
      <c r="E7" s="1"/>
      <c r="F7" s="1"/>
      <c r="G7" s="1"/>
    </row>
    <row r="8" spans="1:7" ht="15.75">
      <c r="A8" s="173" t="s">
        <v>14</v>
      </c>
      <c r="B8" s="7"/>
      <c r="C8" s="7"/>
      <c r="D8" s="7"/>
      <c r="E8" s="7"/>
      <c r="F8" s="7"/>
      <c r="G8" s="7"/>
    </row>
    <row r="9" spans="1:7" ht="15.75">
      <c r="A9" s="173" t="s">
        <v>15</v>
      </c>
      <c r="B9" s="7"/>
      <c r="C9" s="7"/>
      <c r="D9" s="7"/>
      <c r="E9" s="7"/>
      <c r="F9" s="7"/>
      <c r="G9" s="7"/>
    </row>
    <row r="10" spans="1:7" ht="15.75">
      <c r="A10" s="173" t="str">
        <f>CONCATENATE("maximum expenditures for the various funds for the year ",G3,"; and (3) the")</f>
        <v>maximum expenditures for the various funds for the year 0; and (3) the</v>
      </c>
      <c r="B10" s="7"/>
      <c r="C10" s="7"/>
      <c r="D10" s="7"/>
      <c r="E10" s="7"/>
      <c r="F10" s="7"/>
      <c r="G10" s="7"/>
    </row>
    <row r="11" spans="1:7" ht="15.75">
      <c r="A11" s="173" t="str">
        <f>CONCATENATE("Amount(s) of ",G3-1," Ad Valorem Tax are within statutory  limitations for the ",G3," Budget.")</f>
        <v>Amount(s) of -1 Ad Valorem Tax are within statutory  limitations for the 0 Budget.</v>
      </c>
      <c r="B11" s="7"/>
      <c r="C11" s="7"/>
      <c r="D11" s="7"/>
      <c r="E11" s="7"/>
      <c r="F11" s="7"/>
      <c r="G11" s="7"/>
    </row>
    <row r="12" spans="1:7" ht="15.75">
      <c r="A12" s="17"/>
      <c r="B12" s="1"/>
      <c r="C12" s="1"/>
      <c r="D12" s="13"/>
      <c r="E12" s="81"/>
      <c r="F12" s="81"/>
      <c r="G12" s="81"/>
    </row>
    <row r="13" spans="1:7" ht="15.75">
      <c r="A13" s="1"/>
      <c r="B13" s="1"/>
      <c r="C13" s="1"/>
      <c r="D13" s="1"/>
      <c r="E13" s="790" t="str">
        <f>CONCATENATE("",G3," Adopted Budget")</f>
        <v>0 Adopted Budget</v>
      </c>
      <c r="F13" s="791"/>
      <c r="G13" s="792"/>
    </row>
    <row r="14" spans="1:8" ht="15.75">
      <c r="A14" s="17"/>
      <c r="B14" s="1"/>
      <c r="C14" s="1"/>
      <c r="D14" s="206"/>
      <c r="E14" s="207" t="s">
        <v>16</v>
      </c>
      <c r="F14" s="47"/>
      <c r="G14" s="208" t="s">
        <v>17</v>
      </c>
      <c r="H14" s="209"/>
    </row>
    <row r="15" spans="1:7" ht="15.75">
      <c r="A15" s="1"/>
      <c r="B15" s="1"/>
      <c r="C15" s="1"/>
      <c r="D15" s="47" t="s">
        <v>18</v>
      </c>
      <c r="E15" s="50" t="s">
        <v>170</v>
      </c>
      <c r="F15" s="793" t="str">
        <f>CONCATENATE("Amount of ",G3-1," Ad Valorem Tax")</f>
        <v>Amount of -1 Ad Valorem Tax</v>
      </c>
      <c r="G15" s="208" t="s">
        <v>19</v>
      </c>
    </row>
    <row r="16" spans="1:7" ht="15.75">
      <c r="A16" s="17" t="s">
        <v>20</v>
      </c>
      <c r="B16" s="1"/>
      <c r="C16" s="1"/>
      <c r="D16" s="50" t="s">
        <v>21</v>
      </c>
      <c r="E16" s="50" t="s">
        <v>602</v>
      </c>
      <c r="F16" s="793"/>
      <c r="G16" s="208" t="s">
        <v>23</v>
      </c>
    </row>
    <row r="17" spans="1:7" ht="4.5" customHeight="1">
      <c r="A17" s="80"/>
      <c r="B17" s="80"/>
      <c r="C17" s="80"/>
      <c r="D17" s="210"/>
      <c r="E17" s="210"/>
      <c r="F17" s="211"/>
      <c r="G17" s="212"/>
    </row>
    <row r="18" spans="1:7" ht="15.75">
      <c r="A18" s="213" t="str">
        <f>CONCATENATE("Computation to Determine Limit for ",G3,"")</f>
        <v>Computation to Determine Limit for 0</v>
      </c>
      <c r="B18" s="80"/>
      <c r="C18" s="80"/>
      <c r="D18" s="10">
        <v>2</v>
      </c>
      <c r="E18" s="81"/>
      <c r="F18" s="81"/>
      <c r="G18" s="214"/>
    </row>
    <row r="19" spans="1:7" ht="15.75">
      <c r="A19" s="119" t="s">
        <v>636</v>
      </c>
      <c r="B19" s="80"/>
      <c r="C19" s="80"/>
      <c r="D19" s="10">
        <v>3</v>
      </c>
      <c r="E19" s="81"/>
      <c r="F19" s="81"/>
      <c r="G19" s="214"/>
    </row>
    <row r="20" spans="1:7" ht="15.75">
      <c r="A20" s="119" t="s">
        <v>124</v>
      </c>
      <c r="B20" s="80"/>
      <c r="C20" s="80"/>
      <c r="D20" s="9">
        <v>4</v>
      </c>
      <c r="E20" s="81"/>
      <c r="F20" s="81"/>
      <c r="G20" s="214"/>
    </row>
    <row r="21" spans="1:7" ht="15.75">
      <c r="A21" s="213" t="s">
        <v>123</v>
      </c>
      <c r="B21" s="80"/>
      <c r="C21" s="80"/>
      <c r="D21" s="9">
        <v>5</v>
      </c>
      <c r="E21" s="81"/>
      <c r="F21" s="81"/>
      <c r="G21" s="214"/>
    </row>
    <row r="22" spans="1:7" ht="15.75">
      <c r="A22" s="215" t="s">
        <v>24</v>
      </c>
      <c r="B22" s="111"/>
      <c r="C22" s="216" t="s">
        <v>25</v>
      </c>
      <c r="D22" s="10"/>
      <c r="E22" s="217"/>
      <c r="F22" s="206"/>
      <c r="G22" s="218"/>
    </row>
    <row r="23" spans="1:7" ht="15.75">
      <c r="A23" s="98" t="s">
        <v>8</v>
      </c>
      <c r="B23" s="111"/>
      <c r="C23" s="10">
        <f>inputPrYr!C19</f>
        <v>0</v>
      </c>
      <c r="D23" s="196">
        <v>6</v>
      </c>
      <c r="E23" s="529" t="str">
        <f>IF(gen!$E$48&lt;&gt;0,gen!$E$48,"  ")</f>
        <v>  </v>
      </c>
      <c r="F23" s="529" t="str">
        <f>IF(gen!$E$55&lt;&gt;0,gen!$E$55,"  ")</f>
        <v>  </v>
      </c>
      <c r="G23" s="530" t="str">
        <f>IF(AND(gen!E55=0,$F$33&gt;=0)," ",IF(AND(F23&gt;0,$F$33=0)," ",IF(AND(F23&gt;0,$F$33&gt;0),ROUND(F23/$F$33*1000,3))))</f>
        <v> </v>
      </c>
    </row>
    <row r="24" spans="1:7" ht="15.75">
      <c r="A24" s="98" t="s">
        <v>226</v>
      </c>
      <c r="B24" s="111"/>
      <c r="C24" s="10" t="s">
        <v>135</v>
      </c>
      <c r="D24" s="196" t="str">
        <f>IF(DebtService!C65&gt;0,DebtService!C65," ")</f>
        <v> </v>
      </c>
      <c r="E24" s="124" t="str">
        <f>IF(DebtService!$E$56&lt;&gt;0,DebtService!$E$56,"  ")</f>
        <v>  </v>
      </c>
      <c r="F24" s="124" t="str">
        <f>IF(DebtService!$E$63&lt;&gt;0,DebtService!$E$63,"  ")</f>
        <v>  </v>
      </c>
      <c r="G24" s="530" t="str">
        <f>IF(AND(DebtService!E63=0,$F$33&gt;=0)," ",IF(AND(F24&gt;0,$F$33=0)," ",IF(AND(F24&gt;0,$F$33&gt;0),ROUND(F24/$F$33*1000,3))))</f>
        <v> </v>
      </c>
    </row>
    <row r="25" spans="1:7" ht="15.75">
      <c r="A25" s="110" t="str">
        <f>IF(inputPrYr!$B$22&gt;"  ",inputPrYr!$B$22,"  ")</f>
        <v>  </v>
      </c>
      <c r="B25" s="111"/>
      <c r="C25" s="10" t="str">
        <f>IF(inputPrYr!C22&gt;0,inputPrYr!C22,"  ")</f>
        <v>  </v>
      </c>
      <c r="D25" s="196" t="str">
        <f>IF(levypage8!C84&gt;0,levypage8!C84," ")</f>
        <v> </v>
      </c>
      <c r="E25" s="124" t="str">
        <f>IF(levypage8!$E$35&lt;&gt;0,levypage8!$E$35,"  ")</f>
        <v>  </v>
      </c>
      <c r="F25" s="124" t="str">
        <f>IF(levypage8!$E$42&lt;&gt;0,levypage8!$E$42,"  ")</f>
        <v>  </v>
      </c>
      <c r="G25" s="530" t="str">
        <f>IF(AND(levypage8!E42=0,$F$33&gt;=0)," ",IF(AND(F25&gt;0,$F$33=0)," ",IF(AND(F25&gt;0,$F$33&gt;0),ROUND(F25/$F$33*1000,3))))</f>
        <v> </v>
      </c>
    </row>
    <row r="26" spans="1:7" ht="15.75">
      <c r="A26" s="110" t="str">
        <f>IF(inputPrYr!$B$23&gt;"  ",inputPrYr!$B$23,"  ")</f>
        <v>  </v>
      </c>
      <c r="B26" s="111"/>
      <c r="C26" s="10" t="str">
        <f>IF(inputPrYr!C23&gt;0,inputPrYr!C23,"  ")</f>
        <v>  </v>
      </c>
      <c r="D26" s="196" t="str">
        <f>IF(levypage8!C84&gt;0,levypage8!C84," ")</f>
        <v> </v>
      </c>
      <c r="E26" s="124" t="str">
        <f>IF(levypage8!$E$75&lt;&gt;0,levypage8!$E$75,"  ")</f>
        <v>  </v>
      </c>
      <c r="F26" s="124" t="str">
        <f>IF(levypage8!$E$82&lt;&gt;0,levypage8!$E$82,"  ")</f>
        <v>  </v>
      </c>
      <c r="G26" s="530" t="str">
        <f>IF(AND(levypage8!E82=0,$F$33&gt;=0)," ",IF(AND(F26&gt;0,$F$33=0)," ",IF(AND(F26&gt;0,$F$33&gt;0),ROUND(F26/$F$33*1000,3))))</f>
        <v> </v>
      </c>
    </row>
    <row r="27" spans="1:7" ht="15.75">
      <c r="A27" s="110" t="str">
        <f>IF(inputPrYr!$B$26&gt;"  ",inputPrYr!$B$26,"  ")</f>
        <v>  </v>
      </c>
      <c r="B27" s="219"/>
      <c r="C27" s="220"/>
      <c r="D27" s="196" t="str">
        <f>IF(nolevypage9!C70&gt;0,nolevypage9!C70," ")</f>
        <v> </v>
      </c>
      <c r="E27" s="124" t="str">
        <f>IF(nolevypage9!$E$31&lt;&gt;0,nolevypage9!$E$31,"  ")</f>
        <v>  </v>
      </c>
      <c r="F27" s="531"/>
      <c r="G27" s="530"/>
    </row>
    <row r="28" spans="1:7" ht="15.75">
      <c r="A28" s="182" t="str">
        <f>IF(inputPrYr!$B$27&gt;"  ",inputPrYr!$B$27,"  ")</f>
        <v>  </v>
      </c>
      <c r="B28" s="221"/>
      <c r="C28" s="220"/>
      <c r="D28" s="196" t="str">
        <f>IF(nolevypage9!C70&gt;0,nolevypage9!C70," ")</f>
        <v> </v>
      </c>
      <c r="E28" s="124" t="str">
        <f>IF(nolevypage9!$E$64&lt;&gt;0,nolevypage9!$E$64,"  ")</f>
        <v>  </v>
      </c>
      <c r="F28" s="531"/>
      <c r="G28" s="530"/>
    </row>
    <row r="29" spans="1:7" ht="15.75">
      <c r="A29" s="182">
        <f>IF((inputPrYr!$B$30&gt;" "),(NonBud!$A$3),"")</f>
      </c>
      <c r="B29" s="221"/>
      <c r="C29" s="208"/>
      <c r="D29" s="196">
        <f>IF(NonBud!F33&gt;0,NonBud!F33,"")</f>
      </c>
      <c r="E29" s="532"/>
      <c r="F29" s="533"/>
      <c r="G29" s="534"/>
    </row>
    <row r="30" spans="1:7" ht="16.5" thickBot="1">
      <c r="A30" s="222" t="s">
        <v>120</v>
      </c>
      <c r="B30" s="219"/>
      <c r="C30" s="111"/>
      <c r="D30" s="102" t="s">
        <v>26</v>
      </c>
      <c r="E30" s="16">
        <f>SUM(E23:E28)</f>
        <v>0</v>
      </c>
      <c r="F30" s="15">
        <f>SUM(F23:F28)</f>
        <v>0</v>
      </c>
      <c r="G30" s="223">
        <f>IF(SUM(G23:G28)=0,"",SUM(G23:G28))</f>
      </c>
    </row>
    <row r="31" spans="1:7" ht="16.5" thickTop="1">
      <c r="A31" s="98" t="s">
        <v>163</v>
      </c>
      <c r="B31" s="219"/>
      <c r="C31" s="111"/>
      <c r="D31" s="698">
        <f>summ!E40</f>
        <v>0</v>
      </c>
      <c r="E31" s="227"/>
      <c r="F31" s="227"/>
      <c r="G31" s="17" t="s">
        <v>27</v>
      </c>
    </row>
    <row r="32" spans="1:7" ht="15.75">
      <c r="A32" s="629" t="s">
        <v>177</v>
      </c>
      <c r="B32" s="628"/>
      <c r="C32" s="627"/>
      <c r="D32" s="626">
        <f>IF(Nhood!C37=0,"",Nhood!C37)</f>
      </c>
      <c r="E32" s="227"/>
      <c r="F32" s="396" t="s">
        <v>122</v>
      </c>
      <c r="G32" s="17"/>
    </row>
    <row r="33" spans="1:7" ht="15.75">
      <c r="A33" s="784" t="s">
        <v>730</v>
      </c>
      <c r="B33" s="785"/>
      <c r="C33" s="786"/>
      <c r="D33" s="699" t="str">
        <f>IF(F30&gt;1000,IF(F30&gt;computation!J41,"Yes","No"),"No")</f>
        <v>No</v>
      </c>
      <c r="E33" s="138"/>
      <c r="F33" s="274">
        <f>'TIF CountyClerk'!E11</f>
        <v>0</v>
      </c>
      <c r="G33" s="17"/>
    </row>
    <row r="34" spans="1:7" ht="15.75">
      <c r="A34" s="186"/>
      <c r="B34" s="75"/>
      <c r="C34" s="1"/>
      <c r="D34" s="225"/>
      <c r="E34" s="138"/>
      <c r="F34" s="796" t="str">
        <f>CONCATENATE("Nov. 1, ",G3-1," Total Assessed Valuation")</f>
        <v>Nov. 1, -1 Total Assessed Valuation</v>
      </c>
      <c r="G34" s="17"/>
    </row>
    <row r="35" spans="1:7" ht="15.75">
      <c r="A35" s="17" t="s">
        <v>28</v>
      </c>
      <c r="B35" s="204"/>
      <c r="C35" s="204"/>
      <c r="D35" s="227"/>
      <c r="E35" s="224"/>
      <c r="F35" s="797"/>
      <c r="G35" s="1"/>
    </row>
    <row r="36" spans="1:7" ht="15.75">
      <c r="A36" s="782"/>
      <c r="B36" s="783"/>
      <c r="C36" s="204"/>
      <c r="D36" s="227"/>
      <c r="E36" s="226"/>
      <c r="F36" s="227"/>
      <c r="G36" s="1"/>
    </row>
    <row r="37" spans="1:7" ht="15.75">
      <c r="A37" s="782"/>
      <c r="B37" s="783"/>
      <c r="C37" s="204"/>
      <c r="D37" s="227"/>
      <c r="E37" s="794"/>
      <c r="F37" s="227"/>
      <c r="G37" s="1"/>
    </row>
    <row r="38" spans="1:7" ht="15.75">
      <c r="A38" s="186" t="s">
        <v>127</v>
      </c>
      <c r="B38" s="204"/>
      <c r="C38" s="204"/>
      <c r="D38" s="227"/>
      <c r="E38" s="795"/>
      <c r="F38" s="227"/>
      <c r="G38" s="1"/>
    </row>
    <row r="39" spans="1:7" ht="15.75">
      <c r="A39" s="782"/>
      <c r="B39" s="783"/>
      <c r="C39" s="204"/>
      <c r="D39" s="75" t="s">
        <v>635</v>
      </c>
      <c r="E39" s="515"/>
      <c r="F39" s="515"/>
      <c r="G39" s="75"/>
    </row>
    <row r="40" spans="1:7" ht="15.75">
      <c r="A40" s="777"/>
      <c r="B40" s="778"/>
      <c r="C40" s="204"/>
      <c r="D40" s="75"/>
      <c r="E40" s="515"/>
      <c r="F40" s="515"/>
      <c r="G40" s="75"/>
    </row>
    <row r="41" spans="1:7" ht="15.75">
      <c r="A41" s="777"/>
      <c r="B41" s="778"/>
      <c r="C41" s="1"/>
      <c r="D41" s="75" t="s">
        <v>635</v>
      </c>
      <c r="E41" s="516"/>
      <c r="F41" s="75"/>
      <c r="G41" s="75"/>
    </row>
    <row r="42" spans="1:7" ht="15.75">
      <c r="A42" s="779"/>
      <c r="B42" s="778"/>
      <c r="C42" s="17"/>
      <c r="D42" s="229"/>
      <c r="E42" s="228"/>
      <c r="F42" s="75"/>
      <c r="G42" s="75"/>
    </row>
    <row r="43" spans="1:7" ht="15.75">
      <c r="A43" s="186" t="s">
        <v>634</v>
      </c>
      <c r="B43" s="75"/>
      <c r="C43" s="75"/>
      <c r="D43" s="75" t="s">
        <v>635</v>
      </c>
      <c r="E43" s="228"/>
      <c r="F43" s="517"/>
      <c r="G43" s="517"/>
    </row>
    <row r="44" spans="1:7" ht="15.75">
      <c r="A44" s="782"/>
      <c r="B44" s="783"/>
      <c r="C44" s="75"/>
      <c r="D44" s="228"/>
      <c r="E44" s="228"/>
      <c r="F44" s="6"/>
      <c r="G44" s="6"/>
    </row>
    <row r="45" spans="1:7" ht="15.75">
      <c r="A45" s="186"/>
      <c r="B45" s="75"/>
      <c r="C45" s="75"/>
      <c r="D45" s="75" t="s">
        <v>635</v>
      </c>
      <c r="E45" s="228"/>
      <c r="F45" s="517"/>
      <c r="G45" s="517"/>
    </row>
    <row r="46" spans="1:7" ht="15.75">
      <c r="A46" s="75"/>
      <c r="B46" s="75"/>
      <c r="C46" s="75"/>
      <c r="D46" s="228"/>
      <c r="E46" s="228"/>
      <c r="F46" s="228"/>
      <c r="G46" s="228"/>
    </row>
    <row r="47" spans="1:7" ht="15.75">
      <c r="A47" s="17" t="s">
        <v>161</v>
      </c>
      <c r="B47" s="75"/>
      <c r="C47" s="17">
        <f>G3-1</f>
        <v>-1</v>
      </c>
      <c r="D47" s="75" t="s">
        <v>635</v>
      </c>
      <c r="E47" s="75"/>
      <c r="F47" s="517"/>
      <c r="G47" s="517"/>
    </row>
    <row r="48" spans="1:7" ht="15.75">
      <c r="A48" s="227"/>
      <c r="B48" s="227"/>
      <c r="C48" s="227"/>
      <c r="D48" s="75"/>
      <c r="E48" s="75"/>
      <c r="F48" s="518"/>
      <c r="G48" s="518"/>
    </row>
    <row r="49" spans="1:7" ht="15.75">
      <c r="A49" s="780"/>
      <c r="B49" s="781"/>
      <c r="C49" s="1"/>
      <c r="D49" s="75" t="s">
        <v>635</v>
      </c>
      <c r="E49" s="75"/>
      <c r="F49" s="75"/>
      <c r="G49" s="75"/>
    </row>
    <row r="50" spans="1:7" ht="15.75">
      <c r="A50" s="7" t="s">
        <v>30</v>
      </c>
      <c r="B50" s="7"/>
      <c r="C50" s="1"/>
      <c r="D50" s="798" t="s">
        <v>29</v>
      </c>
      <c r="E50" s="799"/>
      <c r="F50" s="799"/>
      <c r="G50" s="799"/>
    </row>
    <row r="51" spans="1:7" ht="15.75">
      <c r="A51" s="3"/>
      <c r="B51" s="3"/>
      <c r="C51" s="3"/>
      <c r="D51" s="3"/>
      <c r="E51" s="3"/>
      <c r="F51" s="3"/>
      <c r="G51" s="3"/>
    </row>
    <row r="52" spans="1:7" ht="15.75">
      <c r="A52" s="3"/>
      <c r="B52" s="3"/>
      <c r="C52" s="3"/>
      <c r="D52" s="3"/>
      <c r="E52" s="3"/>
      <c r="F52" s="3"/>
      <c r="G52" s="3"/>
    </row>
    <row r="53" spans="1:7" ht="15.75">
      <c r="A53" s="3"/>
      <c r="B53" s="3"/>
      <c r="C53" s="3"/>
      <c r="D53" s="3"/>
      <c r="E53" s="3"/>
      <c r="F53" s="3"/>
      <c r="G53" s="787"/>
    </row>
    <row r="54" spans="1:7" ht="15.75">
      <c r="A54" s="3"/>
      <c r="B54" s="3"/>
      <c r="C54" s="3"/>
      <c r="D54" s="3"/>
      <c r="E54" s="3"/>
      <c r="F54" s="3"/>
      <c r="G54" s="787"/>
    </row>
    <row r="55" spans="1:7" ht="15.75">
      <c r="A55" s="3"/>
      <c r="B55" s="3"/>
      <c r="C55" s="3"/>
      <c r="D55" s="3"/>
      <c r="E55" s="3"/>
      <c r="F55" s="3"/>
      <c r="G55" s="787"/>
    </row>
    <row r="56" spans="1:7" ht="15.75">
      <c r="A56" s="3"/>
      <c r="B56" s="3"/>
      <c r="C56" s="3"/>
      <c r="D56" s="3"/>
      <c r="E56" s="3"/>
      <c r="F56" s="3"/>
      <c r="G56" s="787"/>
    </row>
    <row r="57" spans="1:7" ht="15.75">
      <c r="A57" s="3"/>
      <c r="B57" s="3"/>
      <c r="C57" s="3"/>
      <c r="D57" s="230"/>
      <c r="E57" s="3"/>
      <c r="F57" s="3"/>
      <c r="G57" s="787"/>
    </row>
    <row r="58" ht="15.75">
      <c r="G58" s="787"/>
    </row>
    <row r="59" ht="15.75">
      <c r="G59" s="787"/>
    </row>
    <row r="60" ht="15.75">
      <c r="G60" s="787"/>
    </row>
    <row r="61" ht="15.75">
      <c r="G61" s="787"/>
    </row>
    <row r="62" ht="15.75">
      <c r="G62" s="787"/>
    </row>
    <row r="63" ht="15.75">
      <c r="G63" s="787"/>
    </row>
    <row r="64" ht="15.75">
      <c r="G64" s="787"/>
    </row>
    <row r="65" ht="15.75">
      <c r="G65" s="787"/>
    </row>
  </sheetData>
  <sheetProtection sheet="1"/>
  <mergeCells count="18">
    <mergeCell ref="A33:C33"/>
    <mergeCell ref="G53:G65"/>
    <mergeCell ref="A2:G2"/>
    <mergeCell ref="A4:G4"/>
    <mergeCell ref="A6:G6"/>
    <mergeCell ref="E13:G13"/>
    <mergeCell ref="F15:F16"/>
    <mergeCell ref="E37:E38"/>
    <mergeCell ref="F34:F35"/>
    <mergeCell ref="D50:G50"/>
    <mergeCell ref="A41:B41"/>
    <mergeCell ref="A42:B42"/>
    <mergeCell ref="A49:B49"/>
    <mergeCell ref="A36:B36"/>
    <mergeCell ref="A37:B37"/>
    <mergeCell ref="A39:B39"/>
    <mergeCell ref="A40:B40"/>
    <mergeCell ref="A44:B44"/>
  </mergeCells>
  <printOptions/>
  <pageMargins left="0.5" right="0.5" top="0" bottom="0.5" header="0" footer="0.5"/>
  <pageSetup blackAndWhite="1" fitToHeight="1" fitToWidth="1" horizontalDpi="120" verticalDpi="120" orientation="portrait" scale="8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G36" sqref="AG36"/>
    </sheetView>
  </sheetViews>
  <sheetFormatPr defaultColWidth="8.796875" defaultRowHeight="15.75" customHeight="1"/>
  <cols>
    <col min="1" max="2" width="3.296875" style="231" customWidth="1"/>
    <col min="3" max="3" width="31.296875" style="231" customWidth="1"/>
    <col min="4" max="4" width="2.296875" style="231" customWidth="1"/>
    <col min="5" max="5" width="15.796875" style="231" customWidth="1"/>
    <col min="6" max="6" width="2" style="231" customWidth="1"/>
    <col min="7" max="7" width="15.796875" style="231" customWidth="1"/>
    <col min="8" max="8" width="1.8984375" style="231" customWidth="1"/>
    <col min="9" max="9" width="1.796875" style="231" customWidth="1"/>
    <col min="10" max="10" width="15.796875" style="231" customWidth="1"/>
    <col min="11" max="16384" width="8.8984375" style="231" customWidth="1"/>
  </cols>
  <sheetData>
    <row r="1" spans="1:10" ht="15.75" customHeight="1">
      <c r="A1" s="1"/>
      <c r="B1" s="1"/>
      <c r="C1" s="1">
        <f>inputPrYr!D3</f>
        <v>0</v>
      </c>
      <c r="D1" s="1"/>
      <c r="E1" s="1"/>
      <c r="F1" s="1"/>
      <c r="G1" s="1"/>
      <c r="H1" s="1"/>
      <c r="I1" s="1"/>
      <c r="J1" s="1">
        <f>inputPrYr!D6</f>
        <v>0</v>
      </c>
    </row>
    <row r="2" spans="1:10" ht="15.75" customHeight="1">
      <c r="A2" s="1"/>
      <c r="B2" s="1"/>
      <c r="C2" s="1">
        <f>inputPrYr!D4</f>
        <v>0</v>
      </c>
      <c r="D2" s="1"/>
      <c r="E2" s="1"/>
      <c r="F2" s="1"/>
      <c r="G2" s="1"/>
      <c r="H2" s="1"/>
      <c r="I2" s="1"/>
      <c r="J2" s="1"/>
    </row>
    <row r="3" spans="1:10" ht="15.75">
      <c r="A3" s="800" t="str">
        <f>CONCATENATE("Computation to Determine Limit for ",J1,"")</f>
        <v>Computation to Determine Limit for 0</v>
      </c>
      <c r="B3" s="788"/>
      <c r="C3" s="788"/>
      <c r="D3" s="788"/>
      <c r="E3" s="788"/>
      <c r="F3" s="788"/>
      <c r="G3" s="788"/>
      <c r="H3" s="788"/>
      <c r="I3" s="788"/>
      <c r="J3" s="788"/>
    </row>
    <row r="4" spans="1:10" ht="15.75">
      <c r="A4" s="1"/>
      <c r="B4" s="1"/>
      <c r="C4" s="1"/>
      <c r="D4" s="1"/>
      <c r="E4" s="788"/>
      <c r="F4" s="788"/>
      <c r="G4" s="788"/>
      <c r="H4" s="22"/>
      <c r="I4" s="1"/>
      <c r="J4" s="232" t="s">
        <v>86</v>
      </c>
    </row>
    <row r="5" spans="1:10" ht="15.75">
      <c r="A5" s="233" t="s">
        <v>87</v>
      </c>
      <c r="B5" s="1" t="str">
        <f>CONCATENATE("Total tax levy amount in ",J1-1," budget")</f>
        <v>Total tax levy amount in -1 budget</v>
      </c>
      <c r="C5" s="1"/>
      <c r="D5" s="1"/>
      <c r="E5" s="136"/>
      <c r="F5" s="136"/>
      <c r="G5" s="136"/>
      <c r="H5" s="234" t="s">
        <v>88</v>
      </c>
      <c r="I5" s="136" t="s">
        <v>89</v>
      </c>
      <c r="J5" s="356">
        <f>inputPrYr!E24</f>
        <v>0</v>
      </c>
    </row>
    <row r="6" spans="1:10" ht="15.75">
      <c r="A6" s="233" t="s">
        <v>90</v>
      </c>
      <c r="B6" s="1" t="str">
        <f>CONCATENATE("Debt service levy in ",J1-1," budget")</f>
        <v>Debt service levy in -1 budget</v>
      </c>
      <c r="C6" s="1"/>
      <c r="D6" s="1"/>
      <c r="E6" s="136"/>
      <c r="F6" s="136"/>
      <c r="G6" s="136"/>
      <c r="H6" s="234" t="s">
        <v>91</v>
      </c>
      <c r="I6" s="136" t="s">
        <v>89</v>
      </c>
      <c r="J6" s="235">
        <f>inputPrYr!E20</f>
        <v>0</v>
      </c>
    </row>
    <row r="7" spans="1:10" ht="15.75">
      <c r="A7" s="233" t="s">
        <v>109</v>
      </c>
      <c r="B7" s="1" t="s">
        <v>691</v>
      </c>
      <c r="C7" s="1"/>
      <c r="D7" s="1"/>
      <c r="E7" s="136"/>
      <c r="F7" s="136"/>
      <c r="G7" s="136"/>
      <c r="H7" s="136"/>
      <c r="I7" s="136" t="s">
        <v>89</v>
      </c>
      <c r="J7" s="236">
        <f>J5-J6</f>
        <v>0</v>
      </c>
    </row>
    <row r="8" spans="1:10" ht="15.75">
      <c r="A8" s="1"/>
      <c r="B8" s="1"/>
      <c r="C8" s="1"/>
      <c r="D8" s="1"/>
      <c r="E8" s="136"/>
      <c r="F8" s="136"/>
      <c r="G8" s="136"/>
      <c r="H8" s="136"/>
      <c r="I8" s="136"/>
      <c r="J8" s="136"/>
    </row>
    <row r="9" spans="1:10" ht="15.75">
      <c r="A9" s="788" t="str">
        <f>CONCATENATE("",J1-1," Valuation Information for Valuation Adjustments")</f>
        <v>-1 Valuation Information for Valuation Adjustments</v>
      </c>
      <c r="B9" s="769"/>
      <c r="C9" s="769"/>
      <c r="D9" s="769"/>
      <c r="E9" s="769"/>
      <c r="F9" s="769"/>
      <c r="G9" s="769"/>
      <c r="H9" s="769"/>
      <c r="I9" s="769"/>
      <c r="J9" s="769"/>
    </row>
    <row r="10" spans="1:10" ht="15.75">
      <c r="A10" s="1"/>
      <c r="B10" s="1"/>
      <c r="C10" s="1"/>
      <c r="D10" s="1"/>
      <c r="E10" s="136"/>
      <c r="F10" s="136"/>
      <c r="G10" s="136"/>
      <c r="H10" s="136"/>
      <c r="I10" s="136"/>
      <c r="J10" s="136"/>
    </row>
    <row r="11" spans="1:10" ht="15.75">
      <c r="A11" s="233" t="s">
        <v>92</v>
      </c>
      <c r="B11" s="1" t="str">
        <f>CONCATENATE("New improvements for ",J1-1,":")</f>
        <v>New improvements for -1:</v>
      </c>
      <c r="C11" s="1"/>
      <c r="D11" s="1"/>
      <c r="E11" s="234"/>
      <c r="F11" s="234" t="s">
        <v>88</v>
      </c>
      <c r="G11" s="19">
        <f>inputOth!E8</f>
        <v>0</v>
      </c>
      <c r="H11" s="237"/>
      <c r="I11" s="136"/>
      <c r="J11" s="136"/>
    </row>
    <row r="12" spans="1:10" ht="15.75">
      <c r="A12" s="233"/>
      <c r="B12" s="233"/>
      <c r="C12" s="1"/>
      <c r="D12" s="1"/>
      <c r="E12" s="234"/>
      <c r="F12" s="234"/>
      <c r="G12" s="237"/>
      <c r="H12" s="237"/>
      <c r="I12" s="136"/>
      <c r="J12" s="136"/>
    </row>
    <row r="13" spans="1:10" ht="15.75">
      <c r="A13" s="233" t="s">
        <v>93</v>
      </c>
      <c r="B13" s="1" t="str">
        <f>CONCATENATE("Increase in personal property for ",J1-1,":")</f>
        <v>Increase in personal property for -1:</v>
      </c>
      <c r="C13" s="1"/>
      <c r="D13" s="1"/>
      <c r="E13" s="234"/>
      <c r="F13" s="234"/>
      <c r="G13" s="237"/>
      <c r="H13" s="237"/>
      <c r="I13" s="136"/>
      <c r="J13" s="136"/>
    </row>
    <row r="14" spans="1:10" ht="15.75">
      <c r="A14" s="1"/>
      <c r="B14" s="1" t="s">
        <v>94</v>
      </c>
      <c r="C14" s="1" t="str">
        <f>CONCATENATE("Personal property ",J1-1,"")</f>
        <v>Personal property -1</v>
      </c>
      <c r="D14" s="233" t="s">
        <v>88</v>
      </c>
      <c r="E14" s="19">
        <f>inputOth!E9</f>
        <v>0</v>
      </c>
      <c r="F14" s="234"/>
      <c r="G14" s="136"/>
      <c r="H14" s="136"/>
      <c r="I14" s="237"/>
      <c r="J14" s="136"/>
    </row>
    <row r="15" spans="1:10" ht="15.75">
      <c r="A15" s="233"/>
      <c r="B15" s="1" t="s">
        <v>95</v>
      </c>
      <c r="C15" s="1" t="str">
        <f>CONCATENATE("Personal property ",J1-2,"")</f>
        <v>Personal property -2</v>
      </c>
      <c r="D15" s="233" t="s">
        <v>91</v>
      </c>
      <c r="E15" s="236">
        <f>inputOth!E11</f>
        <v>0</v>
      </c>
      <c r="F15" s="234"/>
      <c r="G15" s="237"/>
      <c r="H15" s="237"/>
      <c r="I15" s="136"/>
      <c r="J15" s="136"/>
    </row>
    <row r="16" spans="1:10" ht="15.75">
      <c r="A16" s="233"/>
      <c r="B16" s="1" t="s">
        <v>96</v>
      </c>
      <c r="C16" s="1" t="s">
        <v>692</v>
      </c>
      <c r="D16" s="1"/>
      <c r="E16" s="136"/>
      <c r="F16" s="136" t="s">
        <v>88</v>
      </c>
      <c r="G16" s="19">
        <f>IF(E14&gt;E15,E14-E15,0)</f>
        <v>0</v>
      </c>
      <c r="H16" s="237"/>
      <c r="I16" s="136"/>
      <c r="J16" s="136"/>
    </row>
    <row r="17" spans="1:10" ht="15.75">
      <c r="A17" s="233"/>
      <c r="B17" s="233"/>
      <c r="C17" s="1"/>
      <c r="D17" s="1"/>
      <c r="E17" s="136"/>
      <c r="F17" s="136"/>
      <c r="G17" s="237" t="s">
        <v>104</v>
      </c>
      <c r="H17" s="237"/>
      <c r="I17" s="136"/>
      <c r="J17" s="136"/>
    </row>
    <row r="18" spans="1:10" ht="15.75">
      <c r="A18" s="233" t="s">
        <v>97</v>
      </c>
      <c r="B18" s="1" t="str">
        <f>CONCATENATE("Valuation of property that has changed in use during ",J1-1,":")</f>
        <v>Valuation of property that has changed in use during -1:</v>
      </c>
      <c r="C18" s="1"/>
      <c r="D18" s="233"/>
      <c r="E18" s="136"/>
      <c r="F18" s="136"/>
      <c r="G18" s="136">
        <f>inputOth!E10</f>
        <v>0</v>
      </c>
      <c r="H18" s="136"/>
      <c r="I18" s="136"/>
      <c r="J18" s="136"/>
    </row>
    <row r="19" spans="1:10" ht="15.75">
      <c r="A19" s="1" t="s">
        <v>16</v>
      </c>
      <c r="B19" s="1"/>
      <c r="C19" s="1"/>
      <c r="D19" s="1"/>
      <c r="E19" s="237"/>
      <c r="F19" s="136"/>
      <c r="G19" s="238"/>
      <c r="H19" s="237"/>
      <c r="I19" s="136"/>
      <c r="J19" s="136"/>
    </row>
    <row r="20" spans="1:10" ht="15.75">
      <c r="A20" s="233" t="s">
        <v>98</v>
      </c>
      <c r="B20" s="1" t="s">
        <v>693</v>
      </c>
      <c r="C20" s="1"/>
      <c r="D20" s="233"/>
      <c r="E20" s="136"/>
      <c r="F20" s="136"/>
      <c r="G20" s="19">
        <f>G11+G16+G18</f>
        <v>0</v>
      </c>
      <c r="H20" s="237"/>
      <c r="I20" s="136"/>
      <c r="J20" s="136"/>
    </row>
    <row r="21" spans="1:10" ht="15.75">
      <c r="A21" s="233"/>
      <c r="B21" s="233"/>
      <c r="C21" s="1"/>
      <c r="D21" s="1"/>
      <c r="E21" s="136"/>
      <c r="F21" s="136"/>
      <c r="G21" s="237"/>
      <c r="H21" s="237"/>
      <c r="I21" s="136"/>
      <c r="J21" s="136"/>
    </row>
    <row r="22" spans="1:10" ht="15.75">
      <c r="A22" s="233" t="s">
        <v>99</v>
      </c>
      <c r="B22" s="1" t="str">
        <f>CONCATENATE("Total estimated valuation July, 1,",J1-1,"")</f>
        <v>Total estimated valuation July, 1,-1</v>
      </c>
      <c r="C22" s="1"/>
      <c r="D22" s="1"/>
      <c r="E22" s="19">
        <f>inputOth!E7</f>
        <v>0</v>
      </c>
      <c r="F22" s="136"/>
      <c r="G22" s="136"/>
      <c r="H22" s="136"/>
      <c r="I22" s="234"/>
      <c r="J22" s="136"/>
    </row>
    <row r="23" spans="1:10" ht="15.75">
      <c r="A23" s="233"/>
      <c r="B23" s="233"/>
      <c r="C23" s="1"/>
      <c r="D23" s="1"/>
      <c r="E23" s="237"/>
      <c r="F23" s="136"/>
      <c r="G23" s="136"/>
      <c r="H23" s="136"/>
      <c r="I23" s="234"/>
      <c r="J23" s="136"/>
    </row>
    <row r="24" spans="1:10" ht="15.75">
      <c r="A24" s="233" t="s">
        <v>100</v>
      </c>
      <c r="B24" s="1" t="s">
        <v>694</v>
      </c>
      <c r="C24" s="1"/>
      <c r="D24" s="1"/>
      <c r="E24" s="136"/>
      <c r="F24" s="136"/>
      <c r="G24" s="19">
        <f>E22-G20</f>
        <v>0</v>
      </c>
      <c r="H24" s="237"/>
      <c r="I24" s="234"/>
      <c r="J24" s="136"/>
    </row>
    <row r="25" spans="1:10" ht="15.75">
      <c r="A25" s="233"/>
      <c r="B25" s="233"/>
      <c r="C25" s="1"/>
      <c r="D25" s="1"/>
      <c r="E25" s="136"/>
      <c r="F25" s="136"/>
      <c r="G25" s="238"/>
      <c r="H25" s="237"/>
      <c r="I25" s="234"/>
      <c r="J25" s="136"/>
    </row>
    <row r="26" spans="1:10" ht="15.75">
      <c r="A26" s="233" t="s">
        <v>101</v>
      </c>
      <c r="B26" s="1" t="s">
        <v>695</v>
      </c>
      <c r="C26" s="1"/>
      <c r="D26" s="1"/>
      <c r="E26" s="1"/>
      <c r="F26" s="1"/>
      <c r="G26" s="239">
        <f>IF(G20&gt;0,G20/G24,0)</f>
        <v>0</v>
      </c>
      <c r="H26" s="75"/>
      <c r="I26" s="1"/>
      <c r="J26" s="1"/>
    </row>
    <row r="27" spans="1:10" ht="15.75">
      <c r="A27" s="233"/>
      <c r="B27" s="233"/>
      <c r="C27" s="1"/>
      <c r="D27" s="1"/>
      <c r="E27" s="1"/>
      <c r="F27" s="1"/>
      <c r="G27" s="75"/>
      <c r="H27" s="75"/>
      <c r="I27" s="1"/>
      <c r="J27" s="1"/>
    </row>
    <row r="28" spans="1:10" ht="15.75">
      <c r="A28" s="233" t="s">
        <v>102</v>
      </c>
      <c r="B28" s="1" t="s">
        <v>696</v>
      </c>
      <c r="C28" s="1"/>
      <c r="D28" s="1"/>
      <c r="E28" s="1"/>
      <c r="F28" s="1"/>
      <c r="G28" s="75"/>
      <c r="H28" s="240" t="s">
        <v>88</v>
      </c>
      <c r="I28" s="1" t="s">
        <v>89</v>
      </c>
      <c r="J28" s="19">
        <f>ROUND(G26*J7,0)</f>
        <v>0</v>
      </c>
    </row>
    <row r="29" spans="1:10" ht="15.75">
      <c r="A29" s="233"/>
      <c r="B29" s="233"/>
      <c r="C29" s="1"/>
      <c r="D29" s="1"/>
      <c r="E29" s="1"/>
      <c r="F29" s="1"/>
      <c r="G29" s="75"/>
      <c r="H29" s="240"/>
      <c r="I29" s="1"/>
      <c r="J29" s="237"/>
    </row>
    <row r="30" spans="1:10" ht="16.5" thickBot="1">
      <c r="A30" s="233" t="s">
        <v>103</v>
      </c>
      <c r="B30" s="1" t="str">
        <f>CONCATENATE(J1," budget tax levy, excluding debt service, prior to CPI adjustment (3 plus 11)")</f>
        <v>0 budget tax levy, excluding debt service, prior to CPI adjustment (3 plus 11)</v>
      </c>
      <c r="C30" s="1"/>
      <c r="D30" s="1"/>
      <c r="E30" s="1"/>
      <c r="F30" s="1"/>
      <c r="G30" s="1"/>
      <c r="H30" s="1"/>
      <c r="I30" s="1" t="s">
        <v>89</v>
      </c>
      <c r="J30" s="241">
        <f>J7+J28</f>
        <v>0</v>
      </c>
    </row>
    <row r="31" spans="1:10" ht="16.5" thickTop="1">
      <c r="A31" s="233"/>
      <c r="B31" s="1"/>
      <c r="C31" s="1"/>
      <c r="D31" s="1"/>
      <c r="E31" s="1"/>
      <c r="F31" s="1"/>
      <c r="G31" s="1"/>
      <c r="H31" s="1"/>
      <c r="I31" s="1"/>
      <c r="J31" s="1"/>
    </row>
    <row r="32" spans="1:10" ht="15.75">
      <c r="A32" s="233" t="s">
        <v>110</v>
      </c>
      <c r="B32" s="1" t="str">
        <f>CONCATENATE("Debt service levy in this ",J1," budget")</f>
        <v>Debt service levy in this 0 budget</v>
      </c>
      <c r="C32" s="1"/>
      <c r="D32" s="1"/>
      <c r="E32" s="1"/>
      <c r="F32" s="1"/>
      <c r="G32" s="1"/>
      <c r="H32" s="1"/>
      <c r="I32" s="1"/>
      <c r="J32" s="630">
        <f>DebtService!E63</f>
        <v>0</v>
      </c>
    </row>
    <row r="33" spans="1:10" ht="15.75">
      <c r="A33" s="233"/>
      <c r="B33" s="1"/>
      <c r="C33" s="1"/>
      <c r="D33" s="1"/>
      <c r="E33" s="1"/>
      <c r="F33" s="1"/>
      <c r="G33" s="1"/>
      <c r="H33" s="1"/>
      <c r="I33" s="1"/>
      <c r="J33" s="75"/>
    </row>
    <row r="34" spans="1:10" ht="16.5" thickBot="1">
      <c r="A34" s="233" t="s">
        <v>111</v>
      </c>
      <c r="B34" s="1" t="str">
        <f>CONCATENATE(J1," budget tax levy, including debt service, prior to CPI adjustment (12 plus 13)")</f>
        <v>0 budget tax levy, including debt service, prior to CPI adjustment (12 plus 13)</v>
      </c>
      <c r="C34" s="1"/>
      <c r="D34" s="1"/>
      <c r="E34" s="1"/>
      <c r="F34" s="1"/>
      <c r="G34" s="1"/>
      <c r="H34" s="1"/>
      <c r="I34" s="1"/>
      <c r="J34" s="241">
        <f>J30+J32</f>
        <v>0</v>
      </c>
    </row>
    <row r="35" spans="1:10" ht="16.5" thickTop="1">
      <c r="A35" s="637"/>
      <c r="B35" s="636"/>
      <c r="C35" s="636"/>
      <c r="D35" s="636"/>
      <c r="E35" s="636"/>
      <c r="F35" s="636"/>
      <c r="G35" s="636"/>
      <c r="H35" s="636"/>
      <c r="I35" s="636"/>
      <c r="J35" s="634"/>
    </row>
    <row r="36" spans="1:10" ht="15.75">
      <c r="A36" s="639" t="s">
        <v>685</v>
      </c>
      <c r="B36" s="636" t="str">
        <f>CONCATENATE("Consumer Price Index for all urban consumers for calendar year ",J1-2)</f>
        <v>Consumer Price Index for all urban consumers for calendar year -2</v>
      </c>
      <c r="C36" s="636"/>
      <c r="D36" s="636"/>
      <c r="E36" s="636"/>
      <c r="F36" s="636"/>
      <c r="G36" s="636"/>
      <c r="H36" s="636"/>
      <c r="I36" s="636"/>
      <c r="J36" s="917">
        <v>0.00125</v>
      </c>
    </row>
    <row r="37" spans="1:10" ht="15.75">
      <c r="A37" s="639"/>
      <c r="B37" s="636"/>
      <c r="C37" s="636"/>
      <c r="D37" s="636"/>
      <c r="E37" s="636"/>
      <c r="F37" s="636"/>
      <c r="G37" s="636"/>
      <c r="H37" s="636"/>
      <c r="I37" s="636"/>
      <c r="J37" s="640"/>
    </row>
    <row r="38" spans="1:10" ht="15.75">
      <c r="A38" s="639" t="s">
        <v>686</v>
      </c>
      <c r="B38" s="636" t="s">
        <v>687</v>
      </c>
      <c r="C38" s="636"/>
      <c r="D38" s="636"/>
      <c r="E38" s="636"/>
      <c r="F38" s="636"/>
      <c r="G38" s="636"/>
      <c r="H38" s="636"/>
      <c r="I38" s="635" t="s">
        <v>89</v>
      </c>
      <c r="J38" s="633">
        <f>ROUND(J7*J36,0)</f>
        <v>0</v>
      </c>
    </row>
    <row r="39" spans="1:10" ht="15.75">
      <c r="A39" s="637"/>
      <c r="B39" s="636"/>
      <c r="C39" s="636"/>
      <c r="D39" s="636"/>
      <c r="E39" s="636"/>
      <c r="F39" s="636"/>
      <c r="G39" s="636"/>
      <c r="H39" s="636"/>
      <c r="I39" s="636"/>
      <c r="J39" s="634"/>
    </row>
    <row r="40" spans="1:10" ht="15.75">
      <c r="A40" s="637" t="s">
        <v>688</v>
      </c>
      <c r="B40" s="636" t="str">
        <f>CONCATENATE("Maximum levy for budget year ",J1,", including debt service, not requiring 'notice of vote publication'")</f>
        <v>Maximum levy for budget year 0, including debt service, not requiring 'notice of vote publication'</v>
      </c>
      <c r="C40" s="636"/>
      <c r="D40" s="636"/>
      <c r="E40" s="636"/>
      <c r="F40" s="636"/>
      <c r="G40" s="636"/>
      <c r="H40" s="636"/>
      <c r="I40" s="636"/>
      <c r="J40" s="632"/>
    </row>
    <row r="41" spans="1:10" ht="19.5" thickBot="1">
      <c r="A41" s="631"/>
      <c r="B41" s="635" t="s">
        <v>732</v>
      </c>
      <c r="C41" s="631"/>
      <c r="D41" s="631"/>
      <c r="E41" s="631"/>
      <c r="F41" s="631"/>
      <c r="G41" s="631"/>
      <c r="H41" s="631"/>
      <c r="I41" s="635" t="s">
        <v>89</v>
      </c>
      <c r="J41" s="638">
        <f>J34+J38</f>
        <v>0</v>
      </c>
    </row>
    <row r="42" spans="1:10" ht="19.5" thickTop="1">
      <c r="A42" s="631"/>
      <c r="B42" s="641"/>
      <c r="C42" s="631"/>
      <c r="D42" s="631"/>
      <c r="E42" s="631"/>
      <c r="F42" s="631"/>
      <c r="G42" s="631"/>
      <c r="H42" s="631"/>
      <c r="I42" s="635"/>
      <c r="J42" s="634"/>
    </row>
    <row r="43" spans="1:10" ht="18.75">
      <c r="A43" s="631"/>
      <c r="B43" s="641"/>
      <c r="C43" s="631"/>
      <c r="D43" s="631"/>
      <c r="E43" s="631"/>
      <c r="F43" s="631"/>
      <c r="G43" s="631"/>
      <c r="H43" s="631"/>
      <c r="I43" s="635"/>
      <c r="J43" s="634"/>
    </row>
    <row r="44" spans="1:10" ht="15" customHeight="1">
      <c r="A44" s="803" t="str">
        <f>CONCATENATE("If the ",J1," adopted budget includes a total property tax levy exceeding the dollar amount in line 17")</f>
        <v>If the 0 adopted budget includes a total property tax levy exceeding the dollar amount in line 17</v>
      </c>
      <c r="B44" s="803"/>
      <c r="C44" s="803"/>
      <c r="D44" s="803"/>
      <c r="E44" s="803"/>
      <c r="F44" s="803"/>
      <c r="G44" s="803"/>
      <c r="H44" s="803"/>
      <c r="I44" s="803"/>
      <c r="J44" s="803"/>
    </row>
    <row r="45" spans="1:10" ht="31.5" customHeight="1">
      <c r="A45" s="802" t="s">
        <v>733</v>
      </c>
      <c r="B45" s="802"/>
      <c r="C45" s="802"/>
      <c r="D45" s="802"/>
      <c r="E45" s="802"/>
      <c r="F45" s="802"/>
      <c r="G45" s="802"/>
      <c r="H45" s="802"/>
      <c r="I45" s="802"/>
      <c r="J45" s="802"/>
    </row>
    <row r="46" spans="1:10" ht="15" customHeight="1">
      <c r="A46" s="801" t="s">
        <v>689</v>
      </c>
      <c r="B46" s="801"/>
      <c r="C46" s="801"/>
      <c r="D46" s="801"/>
      <c r="E46" s="801"/>
      <c r="F46" s="801"/>
      <c r="G46" s="801"/>
      <c r="H46" s="801"/>
      <c r="I46" s="801"/>
      <c r="J46" s="801"/>
    </row>
    <row r="47" spans="1:10" ht="15" customHeight="1">
      <c r="A47" s="801" t="s">
        <v>690</v>
      </c>
      <c r="B47" s="801"/>
      <c r="C47" s="801"/>
      <c r="D47" s="801"/>
      <c r="E47" s="801"/>
      <c r="F47" s="801"/>
      <c r="G47" s="801"/>
      <c r="H47" s="801"/>
      <c r="I47" s="801"/>
      <c r="J47" s="801"/>
    </row>
  </sheetData>
  <sheetProtection sheet="1" objects="1" scenarios="1"/>
  <mergeCells count="7">
    <mergeCell ref="A3:J3"/>
    <mergeCell ref="E4:G4"/>
    <mergeCell ref="A47:J47"/>
    <mergeCell ref="A45:J45"/>
    <mergeCell ref="A44:J44"/>
    <mergeCell ref="A46:J46"/>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86" sqref="Q86"/>
    </sheetView>
  </sheetViews>
  <sheetFormatPr defaultColWidth="8.796875" defaultRowHeight="15"/>
  <cols>
    <col min="1" max="1" width="8.8984375" style="20" customWidth="1"/>
    <col min="2" max="2" width="17.796875" style="3" customWidth="1"/>
    <col min="3" max="3" width="15.796875" style="3" customWidth="1"/>
    <col min="4" max="4" width="12.796875" style="3" customWidth="1"/>
    <col min="5" max="5" width="13.09765625" style="3" customWidth="1"/>
    <col min="6" max="8" width="12.796875" style="3" customWidth="1"/>
    <col min="9" max="9" width="10.796875" style="3" customWidth="1"/>
    <col min="10" max="16384" width="8.8984375" style="3" customWidth="1"/>
  </cols>
  <sheetData>
    <row r="1" spans="1:9" ht="15.75">
      <c r="A1" s="1"/>
      <c r="B1" s="1">
        <f>inputPrYr!D3</f>
        <v>0</v>
      </c>
      <c r="C1" s="1"/>
      <c r="D1" s="1"/>
      <c r="E1" s="1"/>
      <c r="F1" s="1"/>
      <c r="G1" s="1"/>
      <c r="H1" s="1"/>
      <c r="I1" s="1"/>
    </row>
    <row r="2" spans="1:9" ht="15.75">
      <c r="A2" s="1"/>
      <c r="B2" s="1">
        <f>inputPrYr!D4</f>
        <v>0</v>
      </c>
      <c r="C2" s="1"/>
      <c r="D2" s="1"/>
      <c r="E2" s="1"/>
      <c r="F2" s="1"/>
      <c r="G2" s="1"/>
      <c r="H2" s="1"/>
      <c r="I2" s="1">
        <f>inputPrYr!D6</f>
        <v>0</v>
      </c>
    </row>
    <row r="3" spans="1:9" ht="15.75">
      <c r="A3" s="1"/>
      <c r="B3" s="1"/>
      <c r="C3" s="5"/>
      <c r="D3" s="5"/>
      <c r="E3" s="5"/>
      <c r="F3" s="5"/>
      <c r="G3" s="5"/>
      <c r="H3" s="5"/>
      <c r="I3" s="1"/>
    </row>
    <row r="4" spans="1:9" ht="15.75">
      <c r="A4" s="6"/>
      <c r="B4" s="1"/>
      <c r="C4" s="1"/>
      <c r="D4" s="1"/>
      <c r="E4" s="1"/>
      <c r="F4" s="1"/>
      <c r="G4" s="1"/>
      <c r="H4" s="1"/>
      <c r="I4" s="1"/>
    </row>
    <row r="5" spans="1:9" ht="15.75">
      <c r="A5" s="6"/>
      <c r="B5" s="1"/>
      <c r="C5" s="7"/>
      <c r="D5" s="7"/>
      <c r="E5" s="7"/>
      <c r="F5" s="1"/>
      <c r="G5" s="1"/>
      <c r="H5" s="1"/>
      <c r="I5" s="1"/>
    </row>
    <row r="6" spans="1:9" ht="15.75">
      <c r="A6" s="809" t="s">
        <v>725</v>
      </c>
      <c r="B6" s="809"/>
      <c r="C6" s="809"/>
      <c r="D6" s="809"/>
      <c r="E6" s="809"/>
      <c r="F6" s="809"/>
      <c r="G6" s="809"/>
      <c r="H6" s="809"/>
      <c r="I6" s="809"/>
    </row>
    <row r="7" spans="1:9" ht="15.75">
      <c r="A7" s="358"/>
      <c r="B7" s="685"/>
      <c r="C7" s="685"/>
      <c r="D7" s="685"/>
      <c r="E7" s="685"/>
      <c r="F7" s="685"/>
      <c r="G7" s="1"/>
      <c r="H7" s="1"/>
      <c r="I7" s="1"/>
    </row>
    <row r="8" spans="1:9" ht="15.75">
      <c r="A8" s="1"/>
      <c r="B8" s="1"/>
      <c r="C8" s="1"/>
      <c r="D8" s="1"/>
      <c r="E8" s="1"/>
      <c r="F8" s="1"/>
      <c r="G8" s="1"/>
      <c r="H8" s="1"/>
      <c r="I8" s="1"/>
    </row>
    <row r="9" spans="1:9" ht="15.75">
      <c r="A9" s="1"/>
      <c r="B9" s="806" t="str">
        <f>CONCATENATE("",I2-1,"                    Budgeted Funds")</f>
        <v>-1                    Budgeted Funds</v>
      </c>
      <c r="C9" s="804" t="str">
        <f>CONCATENATE("Tax Levy Amount in ",I2-1," Budget")</f>
        <v>Tax Levy Amount in -1 Budget</v>
      </c>
      <c r="D9" s="790" t="str">
        <f>CONCATENATE("Allocation for Year ",I2,"")</f>
        <v>Allocation for Year 0</v>
      </c>
      <c r="E9" s="807"/>
      <c r="F9" s="807"/>
      <c r="G9" s="807"/>
      <c r="H9" s="808"/>
      <c r="I9" s="1"/>
    </row>
    <row r="10" spans="1:9" ht="15.75">
      <c r="A10" s="1"/>
      <c r="B10" s="805"/>
      <c r="C10" s="805"/>
      <c r="D10" s="9" t="s">
        <v>45</v>
      </c>
      <c r="E10" s="9" t="s">
        <v>46</v>
      </c>
      <c r="F10" s="9" t="s">
        <v>84</v>
      </c>
      <c r="G10" s="693" t="s">
        <v>716</v>
      </c>
      <c r="H10" s="693" t="s">
        <v>717</v>
      </c>
      <c r="I10" s="1"/>
    </row>
    <row r="11" spans="1:9" ht="15.75">
      <c r="A11" s="1"/>
      <c r="B11" s="11" t="str">
        <f>inputPrYr!B19</f>
        <v>General</v>
      </c>
      <c r="C11" s="12">
        <f>inputPrYr!E19</f>
        <v>0</v>
      </c>
      <c r="D11" s="12">
        <f>IF(E17=0,0,E17-SUM(D12:D14))</f>
        <v>0</v>
      </c>
      <c r="E11" s="12">
        <f>IF(E19=0,0,E19-SUM(E12:E14))</f>
        <v>0</v>
      </c>
      <c r="F11" s="12">
        <f>IF(E21=0,0,E21-SUM(F12:F14))</f>
        <v>0</v>
      </c>
      <c r="G11" s="12">
        <f>IF(E23=0,0,E23-SUM(G12:G14))</f>
        <v>0</v>
      </c>
      <c r="H11" s="12">
        <f>IF(E25=0,0,E25-SUM(H12:H14))</f>
        <v>0</v>
      </c>
      <c r="I11" s="1"/>
    </row>
    <row r="12" spans="1:9" ht="15.75">
      <c r="A12" s="1"/>
      <c r="B12" s="11" t="str">
        <f>inputPrYr!B20</f>
        <v>Debt Service</v>
      </c>
      <c r="C12" s="12">
        <f>inputPrYr!E20</f>
        <v>0</v>
      </c>
      <c r="D12" s="12">
        <f>IF($E$17=0,0,ROUND(C12*$C$28,0))</f>
        <v>0</v>
      </c>
      <c r="E12" s="12">
        <f>IF($E$19=0,0,ROUND(C12*$D$30,0))</f>
        <v>0</v>
      </c>
      <c r="F12" s="12">
        <f>IF($E21=0,0,ROUND(C12*$E$32,0))</f>
        <v>0</v>
      </c>
      <c r="G12" s="12">
        <f>IF($E23=0,0,ROUND(C12*$F$34,0))</f>
        <v>0</v>
      </c>
      <c r="H12" s="12">
        <f>IF($E25=0,0,ROUND(C12*$G$36,0))</f>
        <v>0</v>
      </c>
      <c r="I12" s="1"/>
    </row>
    <row r="13" spans="1:9" ht="15.75">
      <c r="A13" s="1"/>
      <c r="B13" s="11" t="str">
        <f>IF(inputPrYr!$B$22&gt;"  ",inputPrYr!$B$22,"  ")</f>
        <v>  </v>
      </c>
      <c r="C13" s="12">
        <f>inputPrYr!E22</f>
        <v>0</v>
      </c>
      <c r="D13" s="12">
        <f>IF($E$17=0,0,ROUND(C13*$C$28,0))</f>
        <v>0</v>
      </c>
      <c r="E13" s="12">
        <f>IF($E$19=0,0,ROUND(C13*$D$30,0))</f>
        <v>0</v>
      </c>
      <c r="F13" s="12">
        <f>IF($E21=0,0,ROUND(C13*$E$32,0))</f>
        <v>0</v>
      </c>
      <c r="G13" s="12">
        <f>IF($E23=0,0,ROUND(C13*$F$34,0))</f>
        <v>0</v>
      </c>
      <c r="H13" s="12">
        <f>IF($E25=0,0,ROUND(C13*$G$36,0))</f>
        <v>0</v>
      </c>
      <c r="I13" s="1"/>
    </row>
    <row r="14" spans="1:9" ht="15.75">
      <c r="A14" s="1"/>
      <c r="B14" s="11" t="str">
        <f>IF(inputPrYr!$B$23&gt;"  ",inputPrYr!$B$23,"  ")</f>
        <v>  </v>
      </c>
      <c r="C14" s="12">
        <f>inputPrYr!E23</f>
        <v>0</v>
      </c>
      <c r="D14" s="12">
        <f>IF($E$17=0,0,ROUND(C14*$C$28,0))</f>
        <v>0</v>
      </c>
      <c r="E14" s="12">
        <f>IF($E$19=0,0,ROUND(C14*$D$30,0))</f>
        <v>0</v>
      </c>
      <c r="F14" s="12">
        <f>IF($E21=0,0,ROUND(C14*$E$32,0))</f>
        <v>0</v>
      </c>
      <c r="G14" s="12">
        <f>IF($E23=0,0,ROUND(C14*$F$34,0))</f>
        <v>0</v>
      </c>
      <c r="H14" s="12">
        <f>IF($E25=0,0,ROUND(C14*$G$36,0))</f>
        <v>0</v>
      </c>
      <c r="I14" s="1"/>
    </row>
    <row r="15" spans="1:9" ht="16.5" thickBot="1">
      <c r="A15" s="1"/>
      <c r="B15" s="14" t="s">
        <v>11</v>
      </c>
      <c r="C15" s="15">
        <f aca="true" t="shared" si="0" ref="C15:H15">SUM(C11:C14)</f>
        <v>0</v>
      </c>
      <c r="D15" s="15">
        <f t="shared" si="0"/>
        <v>0</v>
      </c>
      <c r="E15" s="15">
        <f t="shared" si="0"/>
        <v>0</v>
      </c>
      <c r="F15" s="15">
        <f t="shared" si="0"/>
        <v>0</v>
      </c>
      <c r="G15" s="15">
        <f t="shared" si="0"/>
        <v>0</v>
      </c>
      <c r="H15" s="15">
        <f t="shared" si="0"/>
        <v>0</v>
      </c>
      <c r="I15" s="1"/>
    </row>
    <row r="16" spans="1:9" ht="16.5" thickTop="1">
      <c r="A16" s="1"/>
      <c r="B16" s="1"/>
      <c r="C16" s="1"/>
      <c r="D16" s="1"/>
      <c r="E16" s="1"/>
      <c r="F16" s="1"/>
      <c r="G16" s="1"/>
      <c r="H16" s="1"/>
      <c r="I16" s="1"/>
    </row>
    <row r="17" spans="1:9" ht="15.75">
      <c r="A17" s="1"/>
      <c r="B17" s="695" t="s">
        <v>718</v>
      </c>
      <c r="C17" s="1"/>
      <c r="D17" s="1"/>
      <c r="E17" s="18">
        <f>inputOth!E29</f>
        <v>0</v>
      </c>
      <c r="F17" s="1"/>
      <c r="G17" s="1"/>
      <c r="H17" s="1"/>
      <c r="I17" s="1"/>
    </row>
    <row r="18" spans="1:9" ht="15.75">
      <c r="A18" s="1"/>
      <c r="B18" s="694"/>
      <c r="C18" s="1"/>
      <c r="D18" s="5"/>
      <c r="E18" s="5"/>
      <c r="F18" s="1"/>
      <c r="G18" s="1"/>
      <c r="H18" s="1"/>
      <c r="I18" s="1"/>
    </row>
    <row r="19" spans="1:9" ht="15.75">
      <c r="A19" s="1"/>
      <c r="B19" s="695" t="s">
        <v>719</v>
      </c>
      <c r="C19" s="1"/>
      <c r="D19" s="5"/>
      <c r="E19" s="18">
        <f>inputOth!E30</f>
        <v>0</v>
      </c>
      <c r="F19" s="1"/>
      <c r="G19" s="1"/>
      <c r="H19" s="1"/>
      <c r="I19" s="1"/>
    </row>
    <row r="20" spans="1:9" ht="15.75">
      <c r="A20" s="1"/>
      <c r="B20" s="694"/>
      <c r="C20" s="1"/>
      <c r="D20" s="1"/>
      <c r="E20" s="1"/>
      <c r="F20" s="1"/>
      <c r="G20" s="1"/>
      <c r="H20" s="1"/>
      <c r="I20" s="1"/>
    </row>
    <row r="21" spans="1:9" ht="15.75">
      <c r="A21" s="1"/>
      <c r="B21" s="695" t="s">
        <v>720</v>
      </c>
      <c r="C21" s="1"/>
      <c r="D21" s="1"/>
      <c r="E21" s="18">
        <f>inputOth!E31</f>
        <v>0</v>
      </c>
      <c r="F21" s="1"/>
      <c r="G21" s="1"/>
      <c r="H21" s="1"/>
      <c r="I21" s="1"/>
    </row>
    <row r="22" spans="1:9" ht="15.75">
      <c r="A22" s="1"/>
      <c r="B22" s="694"/>
      <c r="C22" s="1"/>
      <c r="D22" s="1"/>
      <c r="E22" s="118"/>
      <c r="F22" s="1"/>
      <c r="G22" s="1"/>
      <c r="H22" s="1"/>
      <c r="I22" s="1"/>
    </row>
    <row r="23" spans="1:9" ht="15.75">
      <c r="A23" s="1"/>
      <c r="B23" s="694" t="s">
        <v>721</v>
      </c>
      <c r="C23" s="1"/>
      <c r="D23" s="1"/>
      <c r="E23" s="18">
        <f>inputOth!E32</f>
        <v>0</v>
      </c>
      <c r="F23" s="1"/>
      <c r="G23" s="1"/>
      <c r="H23" s="1"/>
      <c r="I23" s="1"/>
    </row>
    <row r="24" spans="1:9" ht="15.75">
      <c r="A24" s="1"/>
      <c r="B24" s="694"/>
      <c r="C24" s="1"/>
      <c r="D24" s="1"/>
      <c r="E24" s="118"/>
      <c r="F24" s="1"/>
      <c r="G24" s="1"/>
      <c r="H24" s="1"/>
      <c r="I24" s="1"/>
    </row>
    <row r="25" spans="1:9" ht="15.75">
      <c r="A25" s="1"/>
      <c r="B25" s="694" t="s">
        <v>722</v>
      </c>
      <c r="C25" s="1"/>
      <c r="D25" s="1"/>
      <c r="E25" s="18">
        <f>inputOth!E33</f>
        <v>0</v>
      </c>
      <c r="F25" s="1"/>
      <c r="G25" s="1"/>
      <c r="H25" s="1"/>
      <c r="I25" s="1"/>
    </row>
    <row r="26" spans="1:9" ht="15.75">
      <c r="A26" s="1"/>
      <c r="B26" s="1"/>
      <c r="C26" s="1"/>
      <c r="D26" s="1"/>
      <c r="E26" s="1"/>
      <c r="F26" s="1"/>
      <c r="G26" s="1"/>
      <c r="H26" s="1"/>
      <c r="I26" s="1"/>
    </row>
    <row r="27" spans="1:9" ht="15.75">
      <c r="A27" s="1"/>
      <c r="B27" s="692"/>
      <c r="C27" s="692"/>
      <c r="D27" s="692"/>
      <c r="E27" s="692"/>
      <c r="F27" s="692"/>
      <c r="G27" s="1"/>
      <c r="H27" s="1"/>
      <c r="I27" s="1"/>
    </row>
    <row r="28" spans="1:9" ht="15.75">
      <c r="A28" s="1"/>
      <c r="B28" s="691" t="s">
        <v>47</v>
      </c>
      <c r="C28" s="690">
        <f>IF(C15=0,0,E17/C15)</f>
        <v>0</v>
      </c>
      <c r="D28" s="692"/>
      <c r="E28" s="692"/>
      <c r="F28" s="692"/>
      <c r="G28" s="1"/>
      <c r="H28" s="1"/>
      <c r="I28" s="1"/>
    </row>
    <row r="29" spans="1:9" ht="15.75">
      <c r="A29" s="1"/>
      <c r="B29" s="689"/>
      <c r="C29" s="688"/>
      <c r="D29" s="692"/>
      <c r="E29" s="692"/>
      <c r="F29" s="692"/>
      <c r="G29" s="1"/>
      <c r="H29" s="1"/>
      <c r="I29" s="1"/>
    </row>
    <row r="30" spans="1:9" ht="15.75">
      <c r="A30" s="1"/>
      <c r="B30" s="692"/>
      <c r="C30" s="691" t="s">
        <v>48</v>
      </c>
      <c r="D30" s="687">
        <f>IF(C15=0,0,E19/C15)</f>
        <v>0</v>
      </c>
      <c r="E30" s="692"/>
      <c r="F30" s="692"/>
      <c r="G30" s="1"/>
      <c r="H30" s="1"/>
      <c r="I30" s="1"/>
    </row>
    <row r="31" spans="1:9" ht="15.75">
      <c r="A31" s="1"/>
      <c r="B31" s="692"/>
      <c r="C31" s="689"/>
      <c r="D31" s="686"/>
      <c r="E31" s="692"/>
      <c r="F31" s="692"/>
      <c r="G31" s="1"/>
      <c r="H31" s="1"/>
      <c r="I31" s="1"/>
    </row>
    <row r="32" spans="1:9" ht="15.75">
      <c r="A32" s="1"/>
      <c r="B32" s="692"/>
      <c r="C32" s="692"/>
      <c r="D32" s="691" t="s">
        <v>85</v>
      </c>
      <c r="E32" s="687">
        <f>IF(C15=0,0,E21/C15)</f>
        <v>0</v>
      </c>
      <c r="F32" s="692"/>
      <c r="G32" s="1"/>
      <c r="H32" s="1"/>
      <c r="I32" s="1"/>
    </row>
    <row r="33" spans="1:9" ht="15.75">
      <c r="A33" s="1"/>
      <c r="B33" s="692"/>
      <c r="C33" s="692"/>
      <c r="D33" s="691"/>
      <c r="E33" s="686"/>
      <c r="F33" s="692"/>
      <c r="G33" s="1"/>
      <c r="H33" s="1"/>
      <c r="I33" s="1"/>
    </row>
    <row r="34" spans="1:9" ht="15.75">
      <c r="A34" s="1"/>
      <c r="B34" s="692"/>
      <c r="C34" s="692"/>
      <c r="D34" s="691"/>
      <c r="E34" s="696" t="s">
        <v>723</v>
      </c>
      <c r="F34" s="687">
        <f>IF(C15=0,0,E23/C15)</f>
        <v>0</v>
      </c>
      <c r="G34" s="1"/>
      <c r="H34" s="1"/>
      <c r="I34" s="1"/>
    </row>
    <row r="35" spans="1:9" ht="15.75">
      <c r="A35" s="1"/>
      <c r="B35" s="692"/>
      <c r="C35" s="692"/>
      <c r="D35" s="691"/>
      <c r="E35" s="686"/>
      <c r="F35" s="692"/>
      <c r="G35" s="1"/>
      <c r="H35" s="1"/>
      <c r="I35" s="1"/>
    </row>
    <row r="36" spans="1:9" ht="15.75">
      <c r="A36" s="1"/>
      <c r="B36" s="692"/>
      <c r="C36" s="692"/>
      <c r="D36" s="691"/>
      <c r="E36" s="686"/>
      <c r="F36" s="697" t="s">
        <v>724</v>
      </c>
      <c r="G36" s="687">
        <f>IF(C15=0,0,E25/C15)</f>
        <v>0</v>
      </c>
      <c r="H36" s="1"/>
      <c r="I36" s="1"/>
    </row>
    <row r="37" spans="1:9" ht="15.75">
      <c r="A37" s="1"/>
      <c r="B37" s="1"/>
      <c r="C37" s="1"/>
      <c r="D37" s="1"/>
      <c r="E37" s="1"/>
      <c r="F37" s="1"/>
      <c r="G37" s="1"/>
      <c r="H37" s="1"/>
      <c r="I37" s="1"/>
    </row>
    <row r="38" spans="1:9" ht="15.75">
      <c r="A38" s="1"/>
      <c r="B38" s="1"/>
      <c r="C38" s="6"/>
      <c r="D38" s="6"/>
      <c r="E38" s="6"/>
      <c r="F38" s="6"/>
      <c r="G38" s="6"/>
      <c r="H38" s="6"/>
      <c r="I38" s="1"/>
    </row>
  </sheetData>
  <sheetProtection sheet="1" objects="1" scenarios="1"/>
  <mergeCells count="4">
    <mergeCell ref="C9:C10"/>
    <mergeCell ref="B9:B10"/>
    <mergeCell ref="D9:H9"/>
    <mergeCell ref="A6:I6"/>
  </mergeCells>
  <printOptions/>
  <pageMargins left="0.5" right="0.5" top="1" bottom="0.5" header="0.5" footer="0.5"/>
  <pageSetup blackAndWhite="1" fitToHeight="1" fitToWidth="1" horizontalDpi="120" verticalDpi="120" orientation="landscape" scale="80"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6" sqref="Q66"/>
    </sheetView>
  </sheetViews>
  <sheetFormatPr defaultColWidth="8.796875" defaultRowHeight="15"/>
  <cols>
    <col min="1" max="2" width="17.796875" style="3" customWidth="1"/>
    <col min="3" max="6" width="12.796875" style="3" customWidth="1"/>
    <col min="7" max="16384" width="8.8984375" style="3" customWidth="1"/>
  </cols>
  <sheetData>
    <row r="1" spans="1:6" ht="15.75">
      <c r="A1" s="5"/>
      <c r="B1" s="1"/>
      <c r="C1" s="1"/>
      <c r="D1" s="1"/>
      <c r="E1" s="2"/>
      <c r="F1" s="1">
        <f>inputPrYr!D6</f>
        <v>0</v>
      </c>
    </row>
    <row r="2" spans="1:6" ht="15.75">
      <c r="A2" s="21">
        <f>inputPrYr!D3</f>
        <v>0</v>
      </c>
      <c r="B2" s="21"/>
      <c r="C2" s="1"/>
      <c r="D2" s="1"/>
      <c r="E2" s="2"/>
      <c r="F2" s="1"/>
    </row>
    <row r="3" spans="1:6" ht="15.75">
      <c r="A3" s="21">
        <f>inputPrYr!D4</f>
        <v>0</v>
      </c>
      <c r="B3" s="21"/>
      <c r="C3" s="1"/>
      <c r="D3" s="1"/>
      <c r="E3" s="2"/>
      <c r="F3" s="1"/>
    </row>
    <row r="4" spans="1:6" ht="15.75">
      <c r="A4" s="5"/>
      <c r="B4" s="1"/>
      <c r="C4" s="1"/>
      <c r="D4" s="1"/>
      <c r="E4" s="2"/>
      <c r="F4" s="1"/>
    </row>
    <row r="5" spans="1:6" ht="15" customHeight="1">
      <c r="A5" s="788" t="s">
        <v>124</v>
      </c>
      <c r="B5" s="788"/>
      <c r="C5" s="788"/>
      <c r="D5" s="788"/>
      <c r="E5" s="788"/>
      <c r="F5" s="788"/>
    </row>
    <row r="6" spans="1:6" ht="14.25" customHeight="1">
      <c r="A6" s="22"/>
      <c r="B6" s="23"/>
      <c r="C6" s="23"/>
      <c r="D6" s="23"/>
      <c r="E6" s="23"/>
      <c r="F6" s="23"/>
    </row>
    <row r="7" spans="1:6" ht="17.25" customHeight="1">
      <c r="A7" s="24" t="s">
        <v>22</v>
      </c>
      <c r="B7" s="24" t="s">
        <v>506</v>
      </c>
      <c r="C7" s="24" t="s">
        <v>49</v>
      </c>
      <c r="D7" s="24" t="s">
        <v>125</v>
      </c>
      <c r="E7" s="24" t="s">
        <v>126</v>
      </c>
      <c r="F7" s="24" t="s">
        <v>138</v>
      </c>
    </row>
    <row r="8" spans="1:6" ht="17.25" customHeight="1">
      <c r="A8" s="25" t="s">
        <v>507</v>
      </c>
      <c r="B8" s="25" t="s">
        <v>508</v>
      </c>
      <c r="C8" s="25" t="s">
        <v>139</v>
      </c>
      <c r="D8" s="25" t="s">
        <v>139</v>
      </c>
      <c r="E8" s="25" t="s">
        <v>139</v>
      </c>
      <c r="F8" s="25" t="s">
        <v>140</v>
      </c>
    </row>
    <row r="9" spans="1:6" s="28" customFormat="1" ht="18" customHeight="1">
      <c r="A9" s="26" t="s">
        <v>141</v>
      </c>
      <c r="B9" s="26" t="s">
        <v>142</v>
      </c>
      <c r="C9" s="27">
        <f>F1-2</f>
        <v>-2</v>
      </c>
      <c r="D9" s="27">
        <f>F1-1</f>
        <v>-1</v>
      </c>
      <c r="E9" s="27">
        <f>F1</f>
        <v>0</v>
      </c>
      <c r="F9" s="26" t="s">
        <v>143</v>
      </c>
    </row>
    <row r="10" spans="1:6" ht="15" customHeight="1">
      <c r="A10" s="29"/>
      <c r="B10" s="29"/>
      <c r="C10" s="30"/>
      <c r="D10" s="30"/>
      <c r="E10" s="30"/>
      <c r="F10" s="29"/>
    </row>
    <row r="11" spans="1:6" ht="15" customHeight="1">
      <c r="A11" s="31"/>
      <c r="B11" s="31"/>
      <c r="C11" s="32"/>
      <c r="D11" s="32"/>
      <c r="E11" s="32"/>
      <c r="F11" s="31"/>
    </row>
    <row r="12" spans="1:6" ht="15" customHeight="1">
      <c r="A12" s="31"/>
      <c r="B12" s="31"/>
      <c r="C12" s="32"/>
      <c r="D12" s="32"/>
      <c r="E12" s="32"/>
      <c r="F12" s="31"/>
    </row>
    <row r="13" spans="1:6" ht="15" customHeight="1">
      <c r="A13" s="31"/>
      <c r="B13" s="31"/>
      <c r="C13" s="32"/>
      <c r="D13" s="32"/>
      <c r="E13" s="32"/>
      <c r="F13" s="31"/>
    </row>
    <row r="14" spans="1:6" ht="15" customHeight="1">
      <c r="A14" s="31"/>
      <c r="B14" s="31"/>
      <c r="C14" s="32"/>
      <c r="D14" s="32"/>
      <c r="E14" s="32"/>
      <c r="F14" s="31"/>
    </row>
    <row r="15" spans="1:6" ht="15" customHeight="1">
      <c r="A15" s="31"/>
      <c r="B15" s="31"/>
      <c r="C15" s="32"/>
      <c r="D15" s="32"/>
      <c r="E15" s="32"/>
      <c r="F15" s="31"/>
    </row>
    <row r="16" spans="1:6" ht="15" customHeight="1">
      <c r="A16" s="31"/>
      <c r="B16" s="33"/>
      <c r="C16" s="32"/>
      <c r="D16" s="32"/>
      <c r="E16" s="32"/>
      <c r="F16" s="31"/>
    </row>
    <row r="17" spans="1:6" ht="15" customHeight="1">
      <c r="A17" s="31"/>
      <c r="B17" s="31"/>
      <c r="C17" s="32"/>
      <c r="D17" s="32"/>
      <c r="E17" s="32"/>
      <c r="F17" s="31"/>
    </row>
    <row r="18" spans="1:6" ht="15" customHeight="1">
      <c r="A18" s="31"/>
      <c r="B18" s="31"/>
      <c r="C18" s="32"/>
      <c r="D18" s="32"/>
      <c r="E18" s="32"/>
      <c r="F18" s="31"/>
    </row>
    <row r="19" spans="1:6" ht="15" customHeight="1">
      <c r="A19" s="31"/>
      <c r="B19" s="31"/>
      <c r="C19" s="32"/>
      <c r="D19" s="32"/>
      <c r="E19" s="32"/>
      <c r="F19" s="31"/>
    </row>
    <row r="20" spans="1:6" ht="15" customHeight="1">
      <c r="A20" s="31"/>
      <c r="B20" s="31"/>
      <c r="C20" s="32"/>
      <c r="D20" s="32"/>
      <c r="E20" s="32"/>
      <c r="F20" s="31"/>
    </row>
    <row r="21" spans="1:6" ht="15" customHeight="1">
      <c r="A21" s="31"/>
      <c r="B21" s="31"/>
      <c r="C21" s="32"/>
      <c r="D21" s="32"/>
      <c r="E21" s="32"/>
      <c r="F21" s="31"/>
    </row>
    <row r="22" spans="1:6" ht="15" customHeight="1">
      <c r="A22" s="31"/>
      <c r="B22" s="31"/>
      <c r="C22" s="32"/>
      <c r="D22" s="32"/>
      <c r="E22" s="32"/>
      <c r="F22" s="31"/>
    </row>
    <row r="23" spans="1:6" ht="15" customHeight="1">
      <c r="A23" s="31"/>
      <c r="B23" s="31"/>
      <c r="C23" s="32"/>
      <c r="D23" s="32"/>
      <c r="E23" s="32"/>
      <c r="F23" s="31"/>
    </row>
    <row r="24" spans="1:7" ht="15.75">
      <c r="A24" s="34"/>
      <c r="B24" s="35" t="s">
        <v>120</v>
      </c>
      <c r="C24" s="36">
        <f>SUM(C10:C23)</f>
        <v>0</v>
      </c>
      <c r="D24" s="36">
        <f>SUM(D10:D23)</f>
        <v>0</v>
      </c>
      <c r="E24" s="36">
        <f>SUM(E10:E23)</f>
        <v>0</v>
      </c>
      <c r="F24" s="37"/>
      <c r="G24" s="38"/>
    </row>
    <row r="25" spans="1:7" ht="15.75">
      <c r="A25" s="34"/>
      <c r="B25" s="39" t="s">
        <v>504</v>
      </c>
      <c r="C25" s="40"/>
      <c r="D25" s="41"/>
      <c r="E25" s="41"/>
      <c r="F25" s="37"/>
      <c r="G25" s="38"/>
    </row>
    <row r="26" spans="1:7" ht="15.75">
      <c r="A26" s="34"/>
      <c r="B26" s="35" t="s">
        <v>144</v>
      </c>
      <c r="C26" s="36">
        <f>C24</f>
        <v>0</v>
      </c>
      <c r="D26" s="36">
        <f>SUM(D24-D25)</f>
        <v>0</v>
      </c>
      <c r="E26" s="36">
        <f>SUM(E24-E25)</f>
        <v>0</v>
      </c>
      <c r="F26" s="37"/>
      <c r="G26" s="38"/>
    </row>
    <row r="27" spans="1:7" ht="15.75">
      <c r="A27" s="1"/>
      <c r="B27" s="1"/>
      <c r="C27" s="1"/>
      <c r="D27" s="6"/>
      <c r="E27" s="6"/>
      <c r="F27" s="6"/>
      <c r="G27" s="38"/>
    </row>
    <row r="28" spans="1:7" ht="15.75">
      <c r="A28" s="1"/>
      <c r="B28" s="1"/>
      <c r="C28" s="1"/>
      <c r="D28" s="6"/>
      <c r="E28" s="6"/>
      <c r="F28" s="6"/>
      <c r="G28" s="38"/>
    </row>
    <row r="29" spans="1:7" ht="15.75">
      <c r="A29" s="364" t="s">
        <v>505</v>
      </c>
      <c r="B29" s="365" t="str">
        <f>CONCATENATE("Adjustments are required only if the transfer is being made in ",D9," and/or ",E9," from a non-budgeted fund.")</f>
        <v>Adjustments are required only if the transfer is being made in -1 and/or 0 from a non-budgeted fund.</v>
      </c>
      <c r="C29" s="6"/>
      <c r="D29" s="6"/>
      <c r="E29" s="6"/>
      <c r="F29" s="6"/>
      <c r="G29" s="38"/>
    </row>
    <row r="30" spans="1:7" ht="15.75">
      <c r="A30" s="38"/>
      <c r="B30" s="38"/>
      <c r="C30" s="38"/>
      <c r="D30" s="38"/>
      <c r="E30" s="38"/>
      <c r="F30" s="38"/>
      <c r="G30" s="38"/>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N85" sqref="N85"/>
    </sheetView>
  </sheetViews>
  <sheetFormatPr defaultColWidth="8.796875" defaultRowHeight="15"/>
  <cols>
    <col min="1" max="1" width="71.09765625" style="38" customWidth="1"/>
    <col min="2" max="16384" width="8.8984375" style="38" customWidth="1"/>
  </cols>
  <sheetData>
    <row r="1" ht="18.75">
      <c r="A1" s="389" t="s">
        <v>254</v>
      </c>
    </row>
    <row r="2" ht="15.75">
      <c r="A2" s="76"/>
    </row>
    <row r="3" ht="47.25">
      <c r="A3" s="390" t="s">
        <v>255</v>
      </c>
    </row>
    <row r="4" ht="15.75">
      <c r="A4" s="391"/>
    </row>
    <row r="5" ht="15.75">
      <c r="A5" s="76"/>
    </row>
    <row r="6" ht="63">
      <c r="A6" s="390" t="s">
        <v>256</v>
      </c>
    </row>
    <row r="7" ht="15.75">
      <c r="A7" s="391"/>
    </row>
    <row r="8" ht="15.75">
      <c r="A8" s="76"/>
    </row>
    <row r="9" ht="47.25">
      <c r="A9" s="390" t="s">
        <v>257</v>
      </c>
    </row>
    <row r="10" ht="15.75">
      <c r="A10" s="391"/>
    </row>
    <row r="11" ht="15.75">
      <c r="A11" s="391"/>
    </row>
    <row r="12" ht="31.5">
      <c r="A12" s="390" t="s">
        <v>258</v>
      </c>
    </row>
    <row r="13" ht="15.75">
      <c r="A13" s="76"/>
    </row>
    <row r="14" ht="15.75">
      <c r="A14" s="76"/>
    </row>
    <row r="15" ht="47.25">
      <c r="A15" s="390" t="s">
        <v>259</v>
      </c>
    </row>
    <row r="16" ht="15.75">
      <c r="A16" s="76"/>
    </row>
    <row r="17" ht="15.75">
      <c r="A17" s="76"/>
    </row>
    <row r="18" ht="63">
      <c r="A18" s="392" t="s">
        <v>598</v>
      </c>
    </row>
    <row r="19" ht="15.75">
      <c r="A19" s="76"/>
    </row>
    <row r="20" ht="15.75">
      <c r="A20" s="76"/>
    </row>
    <row r="21" ht="63">
      <c r="A21" s="395" t="s">
        <v>260</v>
      </c>
    </row>
    <row r="22" ht="15.75">
      <c r="A22" s="391"/>
    </row>
    <row r="23" ht="15.75">
      <c r="A23" s="76"/>
    </row>
    <row r="24" ht="63">
      <c r="A24" s="390" t="s">
        <v>261</v>
      </c>
    </row>
    <row r="25" ht="47.25">
      <c r="A25" s="393" t="s">
        <v>262</v>
      </c>
    </row>
    <row r="26" ht="15.75">
      <c r="A26" s="391"/>
    </row>
    <row r="27" ht="15.75">
      <c r="A27" s="76"/>
    </row>
    <row r="28" ht="63">
      <c r="A28" s="392" t="s">
        <v>599</v>
      </c>
    </row>
    <row r="29" ht="15.75">
      <c r="A29" s="76"/>
    </row>
    <row r="30" ht="15.75">
      <c r="A30" s="76"/>
    </row>
    <row r="31" ht="78.75">
      <c r="A31" s="392" t="s">
        <v>600</v>
      </c>
    </row>
    <row r="32" ht="15.75">
      <c r="A32" s="76"/>
    </row>
    <row r="33" ht="15.75">
      <c r="A33" s="76"/>
    </row>
    <row r="34" ht="47.25">
      <c r="A34" s="394" t="s">
        <v>601</v>
      </c>
    </row>
    <row r="35" ht="15.75">
      <c r="A35" s="76"/>
    </row>
    <row r="36" ht="15.75">
      <c r="A36" s="76"/>
    </row>
    <row r="37" ht="78.75">
      <c r="A37" s="390" t="s">
        <v>263</v>
      </c>
    </row>
    <row r="38" ht="15.75">
      <c r="A38" s="391"/>
    </row>
    <row r="39" ht="15.75">
      <c r="A39" s="391"/>
    </row>
    <row r="40" ht="47.25">
      <c r="A40" s="395" t="s">
        <v>264</v>
      </c>
    </row>
    <row r="41" ht="15.75">
      <c r="A41" s="39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2015-10-01T20:39:52Z</cp:lastPrinted>
  <dcterms:created xsi:type="dcterms:W3CDTF">1999-08-06T13:59:57Z</dcterms:created>
  <dcterms:modified xsi:type="dcterms:W3CDTF">2016-06-05T15:27:12Z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