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activeTab="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ibrary Grant" sheetId="11" r:id="rId11"/>
    <sheet name="gen" sheetId="12" r:id="rId12"/>
    <sheet name="DebtSvs-EmployBenefit" sheetId="13" r:id="rId13"/>
    <sheet name="levypage9" sheetId="14" r:id="rId14"/>
    <sheet name="nolevypage10" sheetId="15" r:id="rId15"/>
    <sheet name="NonBudpage11" sheetId="16" r:id="rId16"/>
    <sheet name="NonBudFunds" sheetId="17" r:id="rId17"/>
    <sheet name="summ" sheetId="18" r:id="rId18"/>
    <sheet name="Nhood" sheetId="19" r:id="rId19"/>
    <sheet name="Pub. Notice Option 1" sheetId="20" r:id="rId20"/>
    <sheet name="Pub. Notice Option 2" sheetId="21" r:id="rId21"/>
    <sheet name="Pub. Notice Option 3"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externalReferences>
    <externalReference r:id="rId34"/>
    <externalReference r:id="rId35"/>
  </externalReferences>
  <definedNames>
    <definedName name="_xlnm.Print_Area" localSheetId="4">'cert'!$A$1:$G$64</definedName>
    <definedName name="_xlnm.Print_Area" localSheetId="12">'DebtSvs-EmployBenefit'!$B$1:$F$87</definedName>
    <definedName name="_xlnm.Print_Area" localSheetId="11">'gen'!$B$1:$F$76</definedName>
    <definedName name="_xlnm.Print_Area" localSheetId="1">'inputPrYr'!$A$1:$E$64</definedName>
    <definedName name="_xlnm.Print_Area" localSheetId="13">'levypage9'!$A$1:$E$90</definedName>
    <definedName name="_xlnm.Print_Area" localSheetId="10">'Library Grant'!$A$1:$J$40</definedName>
    <definedName name="_xlnm.Print_Area" localSheetId="22">'Resolution'!$B$5:$B$16</definedName>
    <definedName name="_xlnm.Print_Area" localSheetId="17">'summ'!$A$1:$I$46</definedName>
  </definedNames>
  <calcPr fullCalcOnLoad="1"/>
</workbook>
</file>

<file path=xl/sharedStrings.xml><?xml version="1.0" encoding="utf-8"?>
<sst xmlns="http://schemas.openxmlformats.org/spreadsheetml/2006/main" count="1360" uniqueCount="913">
  <si>
    <t>General Instructions</t>
  </si>
  <si>
    <t>Special District Computer Spreadsheet Preparation</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</si>
  <si>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</si>
  <si>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</si>
  <si>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</si>
  <si>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</si>
  <si>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</si>
  <si>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</si>
  <si>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</si>
  <si>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</si>
  <si>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</si>
  <si>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</si>
  <si>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</si>
  <si>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</si>
  <si>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</si>
  <si>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</si>
  <si>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</si>
  <si>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</si>
  <si>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</si>
  <si>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</si>
  <si>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</si>
  <si>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</si>
  <si>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</si>
  <si>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</si>
  <si>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</si>
  <si>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</si>
  <si>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</si>
  <si>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</si>
  <si>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</si>
  <si>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</si>
  <si>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</si>
  <si>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</si>
  <si>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</si>
  <si>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</si>
  <si>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</si>
  <si>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</si>
  <si>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</si>
  <si>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MVT</t>
  </si>
  <si>
    <t>RVT</t>
  </si>
  <si>
    <t>MVT Factor</t>
  </si>
  <si>
    <t>RVT Factor</t>
  </si>
  <si>
    <t>Actual</t>
  </si>
  <si>
    <t>FUND</t>
  </si>
  <si>
    <t>Expenditures</t>
  </si>
  <si>
    <t>Total Tax Levied</t>
  </si>
  <si>
    <t>Valuation</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</si>
  <si>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</si>
  <si>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</si>
  <si>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</si>
  <si>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</si>
  <si>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</si>
  <si>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</si>
  <si>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</si>
  <si>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</si>
  <si>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</si>
  <si>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</si>
  <si>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</si>
  <si>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</si>
  <si>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</si>
  <si>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</si>
  <si>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</si>
  <si>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</si>
  <si>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</si>
  <si>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</si>
  <si>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</si>
  <si>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</si>
  <si>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</si>
  <si>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</si>
  <si>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</si>
  <si>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</si>
  <si>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</si>
  <si>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</si>
  <si>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</si>
  <si>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</si>
  <si>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</si>
  <si>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</si>
  <si>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</si>
  <si>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</si>
  <si>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</si>
  <si>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</si>
  <si>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</si>
  <si>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</si>
  <si>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</si>
  <si>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</si>
  <si>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</si>
  <si>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</si>
  <si>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</si>
  <si>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</si>
  <si>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</si>
  <si>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</si>
  <si>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</si>
  <si>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</si>
  <si>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</si>
  <si>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</si>
  <si>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</si>
  <si>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</si>
  <si>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</si>
  <si>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</si>
  <si>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</si>
  <si>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</si>
  <si>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</si>
  <si>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</si>
  <si>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</si>
  <si>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</si>
  <si>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</si>
  <si>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</si>
  <si>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</si>
  <si>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</si>
  <si>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</si>
  <si>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</si>
  <si>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 xml:space="preserve">Outstanding </t>
  </si>
  <si>
    <t>(Beginning Principal)</t>
  </si>
  <si>
    <t>Totals</t>
  </si>
  <si>
    <t>Lease Pur. Princ.</t>
  </si>
  <si>
    <t>Statement of Indebt. &amp; Lease/Purchase</t>
  </si>
  <si>
    <t>Schedule of Transfers</t>
  </si>
  <si>
    <t>Current</t>
  </si>
  <si>
    <t>Proposed</t>
  </si>
  <si>
    <t>Delinquency Rate:</t>
  </si>
  <si>
    <t>Total Assessed Valuation</t>
  </si>
  <si>
    <t>10-113</t>
  </si>
  <si>
    <t xml:space="preserve">The input for the following comes directly from </t>
  </si>
  <si>
    <t>General Obligation:</t>
  </si>
  <si>
    <t>Total G.O.</t>
  </si>
  <si>
    <t>Revenue Bonds:</t>
  </si>
  <si>
    <t>Total Revenue</t>
  </si>
  <si>
    <t>Other:</t>
  </si>
  <si>
    <t>Total Other</t>
  </si>
  <si>
    <t>Transfers</t>
  </si>
  <si>
    <t>Amount for</t>
  </si>
  <si>
    <t>Authorized by</t>
  </si>
  <si>
    <t>From:</t>
  </si>
  <si>
    <t>To:</t>
  </si>
  <si>
    <t xml:space="preserve"> Statute</t>
  </si>
  <si>
    <t>Adjusted Totals</t>
  </si>
  <si>
    <t>LAVTR</t>
  </si>
  <si>
    <t>We, the undersigned, officers of</t>
  </si>
  <si>
    <t>Attest: _________________,</t>
  </si>
  <si>
    <t>Tax Rate*</t>
  </si>
  <si>
    <t>The blue areas indicated where the information comes from to complete the section input.</t>
  </si>
  <si>
    <t>The yellow area indicates that statement requires action taken.</t>
  </si>
  <si>
    <t>Less: Transfers</t>
  </si>
  <si>
    <t>Net Expenditures</t>
  </si>
  <si>
    <t>Assessed Valuation</t>
  </si>
  <si>
    <t xml:space="preserve">  Jan 1,</t>
  </si>
  <si>
    <t>The following were changed to this spreadsheet on 8/06/2007</t>
  </si>
  <si>
    <t xml:space="preserve">10. Hard coded the Bond &amp; Interest fund to the Certificate and Budget Summary pages. Also made the </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</si>
  <si>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</si>
  <si>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</si>
  <si>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</si>
  <si>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</si>
  <si>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</si>
  <si>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Other</t>
  </si>
  <si>
    <t>County Name</t>
  </si>
  <si>
    <t>County's Name</t>
  </si>
  <si>
    <t xml:space="preserve"> Other</t>
  </si>
  <si>
    <t>Total Vehicle Tax Estimates</t>
  </si>
  <si>
    <t>Outstanding Indebtedness, January 1:</t>
  </si>
  <si>
    <t>17. Added to instructions about non-appropriated funds limit of 5%.</t>
  </si>
  <si>
    <t>18. Added warning "Exceeds 5%" on all fund pages for the non-appropirated balance.</t>
  </si>
  <si>
    <t>TOTAL</t>
  </si>
  <si>
    <t xml:space="preserve">22. Added Slider to the Vehicle Allocation table and linked to the fund pages. </t>
  </si>
  <si>
    <t>Uncollected</t>
  </si>
  <si>
    <t>Levied</t>
  </si>
  <si>
    <t>23. Added to all budgeted fund pages the budget authority for the actual year, budget violation, and cash violation.</t>
  </si>
  <si>
    <t>24 Added instruction on the addition for item 23.</t>
  </si>
  <si>
    <t>Funds</t>
  </si>
  <si>
    <t xml:space="preserve">expenditure amounts should reflect the amended </t>
  </si>
  <si>
    <t>expenditure amounts.</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</si>
  <si>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</si>
  <si>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</si>
  <si>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</si>
  <si>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19. Added Neighborhood Revitalization table and linked to the tax levy fund pages.</t>
  </si>
  <si>
    <t>20. Added Neighborhood Revitalization expenditures to all tax levy fund pages.</t>
  </si>
  <si>
    <t>21. Added Neighborhood Revitalization Rebate page number to the Certificate page.</t>
  </si>
  <si>
    <t>25. Added 'miscellaneous' category to the receipt/expenditure for all fund pages and set error message.</t>
  </si>
  <si>
    <t>26. Added to the instruction about correct the error message for the miscellaneous.</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</si>
  <si>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</si>
  <si>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</si>
  <si>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27. Expanded on the preparation of budget note 12 for instructions for the Notice of Budget Hearing.</t>
  </si>
  <si>
    <t>28. Added to instruction for submission that deadline for submission to clerk Aug 25.</t>
  </si>
  <si>
    <t>29. Added 'excluding oil, gas, and mobile homes' on Clerks budget info on tab inputoth.</t>
  </si>
  <si>
    <t>***If you are merely leasing/renting with no intent to purchase, do not list--such transactions are not lease-purchases.</t>
  </si>
  <si>
    <t xml:space="preserve">1.  The used of this spreadsheet is designed for a special district having up to 16 county support. </t>
  </si>
  <si>
    <t>Non-budgeted funds:</t>
  </si>
  <si>
    <t xml:space="preserve">Prior Year </t>
  </si>
  <si>
    <t xml:space="preserve">Current Year </t>
  </si>
  <si>
    <t xml:space="preserve">Proposed Budget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</si>
  <si>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</si>
  <si>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</si>
  <si>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</si>
  <si>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</si>
  <si>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</si>
  <si>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</si>
  <si>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</si>
  <si>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</si>
  <si>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</si>
  <si>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</si>
  <si>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</si>
  <si>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</si>
  <si>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</si>
  <si>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</si>
  <si>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</si>
  <si>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</si>
  <si>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</si>
  <si>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</si>
  <si>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</si>
  <si>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</si>
  <si>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</si>
  <si>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</si>
  <si>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</si>
  <si>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</si>
  <si>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</si>
  <si>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</si>
  <si>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</si>
  <si>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</si>
  <si>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10/27/2008</t>
  </si>
  <si>
    <t xml:space="preserve">K.S.A. 79-2926 requires budgets to be submited by electronic means. Contact your County Clerk for the specify instruction as to submission of the budget.  </t>
  </si>
  <si>
    <t>1. Instruction under Submitting of Budget ….required electronic submission.</t>
  </si>
  <si>
    <t>2. Input other tab line 88 change from Budget Summary to Budget Certificate.</t>
  </si>
  <si>
    <t>Debt Service</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</si>
  <si>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</si>
  <si>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</si>
  <si>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</si>
  <si>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</si>
  <si>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</si>
  <si>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</si>
  <si>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</si>
  <si>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</si>
  <si>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</si>
  <si>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</si>
  <si>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</si>
  <si>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</si>
  <si>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</si>
  <si>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</si>
  <si>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</si>
  <si>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</si>
  <si>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</si>
  <si>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</si>
  <si>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</si>
  <si>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</si>
  <si>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</si>
  <si>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</si>
  <si>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</si>
  <si>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</si>
  <si>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</si>
  <si>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1. InputPryr tab added line a16 'If amend…..'</t>
  </si>
  <si>
    <t>Neighborhood Revitalization Subj to Rebate:</t>
  </si>
  <si>
    <t>Neighborhood Revitalization factor:</t>
  </si>
  <si>
    <t>Valuation Factor:</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</si>
  <si>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</si>
  <si>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</si>
  <si>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</si>
  <si>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</si>
  <si>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</si>
  <si>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</si>
  <si>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</si>
  <si>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</si>
  <si>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</si>
  <si>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</si>
  <si>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</si>
  <si>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</si>
  <si>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</si>
  <si>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</si>
  <si>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</si>
  <si>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</si>
  <si>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</si>
  <si>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</si>
  <si>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</si>
  <si>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</si>
  <si>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</si>
  <si>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</si>
  <si>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</si>
  <si>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</si>
  <si>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</si>
  <si>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</si>
  <si>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</si>
  <si>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</si>
  <si>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</si>
  <si>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</si>
  <si>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</si>
  <si>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</si>
  <si>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</si>
  <si>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</si>
  <si>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</si>
  <si>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</si>
  <si>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</si>
  <si>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</si>
  <si>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</si>
  <si>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</si>
  <si>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</si>
  <si>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</si>
  <si>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</si>
  <si>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</si>
  <si>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</si>
  <si>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</si>
  <si>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</si>
  <si>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</si>
  <si>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</si>
  <si>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</si>
  <si>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</si>
  <si>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</si>
  <si>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</si>
  <si>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</si>
  <si>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</si>
  <si>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</si>
  <si>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</si>
  <si>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</si>
  <si>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</si>
  <si>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</si>
  <si>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</si>
  <si>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</si>
  <si>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</si>
  <si>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</si>
  <si>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</si>
  <si>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</si>
  <si>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</si>
  <si>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</si>
  <si>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</si>
  <si>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</si>
  <si>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</si>
  <si>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</si>
  <si>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</si>
  <si>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</si>
  <si>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</si>
  <si>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</si>
  <si>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</si>
  <si>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</si>
  <si>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</si>
  <si>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</si>
  <si>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</si>
  <si>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</si>
  <si>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</si>
  <si>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</si>
  <si>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</si>
  <si>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</si>
  <si>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</si>
  <si>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</si>
  <si>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</si>
  <si>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</si>
  <si>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</si>
  <si>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</si>
  <si>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</si>
  <si>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</si>
  <si>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</si>
  <si>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</si>
  <si>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</si>
  <si>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</si>
  <si>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</si>
  <si>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</si>
  <si>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</si>
  <si>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</si>
  <si>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</si>
  <si>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</si>
  <si>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</si>
  <si>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</si>
  <si>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</si>
  <si>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</si>
  <si>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</si>
  <si>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</si>
  <si>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</si>
  <si>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</si>
  <si>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</si>
  <si>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</si>
  <si>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</si>
  <si>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</si>
  <si>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</si>
  <si>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</si>
  <si>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</si>
  <si>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</si>
  <si>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</si>
  <si>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</si>
  <si>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</si>
  <si>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</si>
  <si>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</si>
  <si>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</si>
  <si>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</si>
  <si>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</si>
  <si>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</si>
  <si>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</si>
  <si>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</si>
  <si>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</si>
  <si>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</si>
  <si>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</si>
  <si>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</si>
  <si>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</si>
  <si>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</si>
  <si>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</si>
  <si>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</si>
  <si>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</si>
  <si>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</si>
  <si>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</si>
  <si>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</si>
  <si>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</si>
  <si>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</si>
  <si>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</si>
  <si>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</si>
  <si>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</si>
  <si>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</si>
  <si>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</si>
  <si>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</si>
  <si>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</si>
  <si>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</si>
  <si>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</si>
  <si>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</si>
  <si>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</si>
  <si>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</si>
  <si>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</si>
  <si>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</si>
  <si>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</si>
  <si>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</si>
  <si>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</si>
  <si>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</si>
  <si>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</si>
  <si>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</si>
  <si>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</si>
  <si>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</si>
  <si>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</si>
  <si>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</si>
  <si>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</si>
  <si>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</si>
  <si>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</si>
  <si>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</si>
  <si>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</si>
  <si>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</si>
  <si>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</si>
  <si>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</si>
  <si>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</si>
  <si>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</si>
  <si>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</si>
  <si>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</si>
  <si>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</si>
  <si>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</si>
  <si>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</si>
  <si>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</si>
  <si>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</si>
  <si>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</si>
  <si>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</si>
  <si>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</si>
  <si>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</si>
  <si>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</si>
  <si>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</si>
  <si>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</si>
  <si>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</si>
  <si>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</si>
  <si>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</si>
  <si>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</si>
  <si>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</si>
  <si>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</si>
  <si>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</si>
  <si>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</si>
  <si>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</si>
  <si>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</si>
  <si>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</si>
  <si>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</si>
  <si>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</si>
  <si>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</si>
  <si>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</si>
  <si>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</si>
  <si>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</si>
  <si>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</si>
  <si>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</si>
  <si>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</si>
  <si>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</si>
  <si>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</si>
  <si>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</si>
  <si>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</si>
  <si>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</si>
  <si>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</si>
  <si>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</si>
  <si>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</si>
  <si>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</si>
  <si>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</si>
  <si>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</si>
  <si>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</si>
  <si>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</si>
  <si>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</si>
  <si>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</si>
  <si>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</si>
  <si>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</si>
  <si>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</si>
  <si>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</si>
  <si>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</si>
  <si>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</si>
  <si>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</si>
  <si>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</si>
  <si>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</si>
  <si>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</si>
  <si>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</si>
  <si>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</si>
  <si>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</si>
  <si>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</si>
  <si>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</si>
  <si>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</si>
  <si>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</si>
  <si>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</si>
  <si>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</si>
  <si>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</si>
  <si>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</si>
  <si>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</si>
  <si>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</si>
  <si>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</si>
  <si>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</si>
  <si>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</si>
  <si>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</si>
  <si>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</si>
  <si>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</si>
  <si>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</si>
  <si>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</si>
  <si>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</si>
  <si>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</si>
  <si>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</si>
  <si>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</si>
  <si>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</si>
  <si>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</si>
  <si>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</si>
  <si>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</si>
  <si>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</si>
  <si>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</si>
  <si>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</si>
  <si>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</si>
  <si>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</si>
  <si>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</si>
  <si>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</si>
  <si>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</si>
  <si>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</si>
  <si>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</si>
  <si>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</si>
  <si>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</si>
  <si>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</si>
  <si>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</si>
  <si>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</si>
  <si>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</si>
  <si>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</si>
  <si>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</si>
  <si>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</si>
  <si>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</si>
  <si>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</si>
  <si>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</si>
  <si>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</si>
  <si>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</si>
  <si>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</si>
  <si>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</si>
  <si>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</si>
  <si>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</si>
  <si>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</si>
  <si>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</si>
  <si>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</si>
  <si>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</si>
  <si>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</si>
  <si>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</si>
  <si>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</si>
  <si>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</si>
  <si>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</si>
  <si>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</si>
  <si>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</si>
  <si>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</si>
  <si>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</si>
  <si>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</si>
  <si>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</si>
  <si>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</si>
  <si>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</si>
  <si>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</si>
  <si>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Budget Authority</t>
  </si>
  <si>
    <t>for Expenditures</t>
  </si>
  <si>
    <t>State of Kansas</t>
  </si>
  <si>
    <t>Special District</t>
  </si>
  <si>
    <t>Does misc. exceed 10% Total Expenditures</t>
  </si>
  <si>
    <t>Does misc. exceed 10% of Total Receipts</t>
  </si>
  <si>
    <t>In Lieu of Taxes (IRB)</t>
  </si>
  <si>
    <t>Non-Appropriated Balance</t>
  </si>
  <si>
    <t>Total Expenditure/Non-Appr Balance</t>
  </si>
  <si>
    <t>Delinquent Comp Rate:</t>
  </si>
  <si>
    <t>The estimated value of one mill would be:</t>
  </si>
  <si>
    <t>Change in Ad Valorem Tax Revenue:</t>
  </si>
  <si>
    <t>What Mill Rate Would Be Desired?</t>
  </si>
  <si>
    <t>Desired Carryover Amount:</t>
  </si>
  <si>
    <t>Estimated Mill Rate Impact:</t>
  </si>
  <si>
    <t>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</si>
  <si>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</si>
  <si>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</si>
  <si>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</si>
  <si>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</si>
  <si>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</si>
  <si>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</si>
  <si>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</si>
  <si>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</si>
  <si>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</si>
  <si>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</si>
  <si>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</si>
  <si>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Email:</t>
  </si>
  <si>
    <t>__________________________  _________________________</t>
  </si>
  <si>
    <t>Allocation of MVT, RVT, 16/20M Veh</t>
  </si>
  <si>
    <t>Type</t>
  </si>
  <si>
    <t>Debt</t>
  </si>
  <si>
    <t>Items</t>
  </si>
  <si>
    <t>Purchased</t>
  </si>
  <si>
    <t>Expenditures Must Be Changed by:</t>
  </si>
  <si>
    <t>Mill Rate Comparison</t>
  </si>
  <si>
    <t xml:space="preserve">Amounts used in lieu of </t>
  </si>
  <si>
    <t>Delinquency % used in this budget will be shown on all fund pages with a tax levy**</t>
  </si>
  <si>
    <t>Official Name:</t>
  </si>
  <si>
    <t>Official Title:</t>
  </si>
  <si>
    <t>Must be at least 10 days between date published and hearing held.</t>
  </si>
  <si>
    <t>January</t>
  </si>
  <si>
    <t>February</t>
  </si>
  <si>
    <t>March</t>
  </si>
  <si>
    <t>April</t>
  </si>
  <si>
    <t>May</t>
  </si>
  <si>
    <t>June</t>
  </si>
  <si>
    <t>July</t>
  </si>
  <si>
    <t>August</t>
  </si>
  <si>
    <t>September</t>
  </si>
  <si>
    <t>October</t>
  </si>
  <si>
    <t>November</t>
  </si>
  <si>
    <t>December</t>
  </si>
  <si>
    <t>Average Delinquency %</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</si>
  <si>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</si>
  <si>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</si>
  <si>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</si>
  <si>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</si>
  <si>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</si>
  <si>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</si>
  <si>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</si>
  <si>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</si>
  <si>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</si>
  <si>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</si>
  <si>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</si>
  <si>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</si>
  <si>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</si>
  <si>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</si>
  <si>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</si>
  <si>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</si>
  <si>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</si>
  <si>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</si>
  <si>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</si>
  <si>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</si>
  <si>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</si>
  <si>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</si>
  <si>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</si>
  <si>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</si>
  <si>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</si>
  <si>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</si>
  <si>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</si>
  <si>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</si>
  <si>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</si>
  <si>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</si>
  <si>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</si>
  <si>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</si>
  <si>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</si>
  <si>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</si>
  <si>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</si>
  <si>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</si>
  <si>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</si>
  <si>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</si>
  <si>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</si>
  <si>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</si>
  <si>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</si>
  <si>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</si>
  <si>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</si>
  <si>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</si>
  <si>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</si>
  <si>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</si>
  <si>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</si>
  <si>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</si>
  <si>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</si>
  <si>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</si>
  <si>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</si>
  <si>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</si>
  <si>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</si>
  <si>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</si>
  <si>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</si>
  <si>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</si>
  <si>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</si>
  <si>
    <t>12-16,102</t>
  </si>
  <si>
    <t>Employee Benefits</t>
  </si>
  <si>
    <t>Computation to Determine State Library Grant</t>
  </si>
  <si>
    <t>Page No. 7</t>
  </si>
  <si>
    <t>Does misc. exceed 10% of Total Expenditures</t>
  </si>
  <si>
    <t>This spreadsheet has tabs for General Fund (gen), Debt Service and Employee Benefits (DebtSvs-EmployBenefit), two tax levy pages (levypage9), two non-budgeted levy pages (nolevypage10), one non-budgeted pages which holds five funds (NonBud), Budget Summary page (summ), and Resolution page (Resolution).</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</si>
  <si>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</si>
  <si>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r>
      <t xml:space="preserve">5c.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</si>
  <si>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r>
      <t>11.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</si>
  <si>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12.  Individual fund sheets (tab names gen, DebtSvs-EmployBenefit, levy pages, nolevy pages, and nonbud) need to be completed, using only those you need and numbering each page used.  When the fund pages are completed, the totals will be shown on the Certificate and Budget Summary pages.</t>
  </si>
  <si>
    <t>12a.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</si>
  <si>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12b.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</si>
  <si>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12c.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</si>
  <si>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12d.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</si>
  <si>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12e.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</si>
  <si>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12f.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</si>
  <si>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12g.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</si>
  <si>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12h.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</si>
  <si>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12i.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</si>
  <si>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12j.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</si>
  <si>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13.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</si>
  <si>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13a.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</si>
  <si>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</si>
  <si>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</si>
  <si>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</si>
  <si>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14a. At the bottom, there is a green shaded area, enter the page number.</t>
  </si>
  <si>
    <t xml:space="preserve">14b. The table 'Estimated Value Of One Mill' to show what 1 mill rate would generate in dollars for the municipality.  </t>
  </si>
  <si>
    <r>
      <t xml:space="preserve">14c.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</si>
  <si>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14d.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</si>
  <si>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14e.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</si>
  <si>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14f. Once the 'Notice of Budget Hearing' has been printed in the local newspaper, please review the notice to ensure the information was correctly printed.  If the information is not correct, the Notice may need to be republished, and may delay the submission of the budget.</t>
  </si>
  <si>
    <t>15.  Certificate (cert) form should be reviewed to verify that all amounts agree with the fund pages and Budget Summary page.  Ensure the Certificate page is signed by the governing body.</t>
  </si>
  <si>
    <t>16.  Review all forms to see that the amounts match and everything is printed properly.</t>
  </si>
  <si>
    <r>
      <t>17.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</si>
  <si>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17a.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</si>
  <si>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17b.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</si>
  <si>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 Corrected addition computation in column D, inputPrYr tab</t>
  </si>
  <si>
    <t xml:space="preserve">Please read these instructions carefully.  If after reviewing them you still have questions, call Rogers Brazier at 785.296.2846 or email to armunis@da.ks.gov </t>
  </si>
  <si>
    <t>1.  "Budget Authority Amount" cell added to budget year column of all funds.</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</si>
  <si>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</si>
  <si>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</si>
  <si>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</si>
  <si>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6b. Complete and print the published notice option utilized if the max levy is exceeded and have it published.  Attach the publication to the budget.</t>
  </si>
  <si>
    <t>15.</t>
  </si>
  <si>
    <t>16.</t>
  </si>
  <si>
    <t>Consumer Price Index adjustment (3 times 15)</t>
  </si>
  <si>
    <t>17.</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</si>
  <si>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</si>
  <si>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</si>
  <si>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</si>
  <si>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</si>
  <si>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</si>
  <si>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</si>
  <si>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</si>
  <si>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</si>
  <si>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</si>
  <si>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</si>
  <si>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</si>
  <si>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</si>
  <si>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</si>
  <si>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</si>
  <si>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</si>
  <si>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7/15/2014</t>
  </si>
  <si>
    <t xml:space="preserve">1.  Added the ROUND function to cell J38 in the computation tab so the result will be a whole number.  </t>
  </si>
  <si>
    <t>The following changes were made to this workbook on 7/28/2014</t>
  </si>
  <si>
    <t xml:space="preserve">1.  Corrected formulas for cells d10, e10, and f10 on the mvalloc tab.  </t>
  </si>
  <si>
    <t>75-2551</t>
  </si>
  <si>
    <t>The following changes were made to this workbook on 8/25/2014</t>
  </si>
  <si>
    <t>Enter special district name (may be longer than green cell):</t>
  </si>
  <si>
    <t>Enter names of other supporting counties:</t>
  </si>
  <si>
    <t xml:space="preserve">Enter the following information from the sources shown.  This information will flow throughout the budget worksheets to the appropriate locations. </t>
  </si>
  <si>
    <t>Note:  All amounts are to be entered as whole numbers only.</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</si>
  <si>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</si>
  <si>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 xml:space="preserve">megan.schulz@library.ks.gov </t>
  </si>
  <si>
    <t>How to Compute the Value of One Mill, and the Impact of Tax Dollars and Assessed Valuation on Mill Rates</t>
  </si>
  <si>
    <t>1.  Update of State Library contact name on library grant tab.</t>
  </si>
  <si>
    <t xml:space="preserve">Enter year being budgeted (YYYY): </t>
  </si>
  <si>
    <t>Enter county name (home county) followed by "County":</t>
  </si>
  <si>
    <t>Special District for Library Budget Workbook Instructions</t>
  </si>
  <si>
    <t>Input Sheet for Special District for Library Budget Workbook</t>
  </si>
  <si>
    <t>SUPPORTING COUNTIES</t>
  </si>
  <si>
    <t>1.  Added "Supporting Counties" section to the notice of budget hearing on the summ tab.</t>
  </si>
  <si>
    <t>The following changes were made to this workbook on 9/10/2014</t>
  </si>
  <si>
    <t>Motor Vehicle Tax Estimate</t>
  </si>
  <si>
    <t>Recreational Vehicle Tax Estimate</t>
  </si>
  <si>
    <t>16/20 M Vehicle Tax Estimate</t>
  </si>
  <si>
    <t>Commercial Vehicle Tax Estimate</t>
  </si>
  <si>
    <t>Watercraft Tax Estimate</t>
  </si>
  <si>
    <t>Comm Veh Factor</t>
  </si>
  <si>
    <t>Watercraft Factor</t>
  </si>
  <si>
    <t>Comm Veh</t>
  </si>
  <si>
    <t>Watercraft</t>
  </si>
  <si>
    <t xml:space="preserve">Allocation of MV, RV, 16/20M, Commercial Vehicle, and Watercraft Tax Estimates </t>
  </si>
  <si>
    <t>County Treas Motor Vehicle Estimate</t>
  </si>
  <si>
    <t>County Treas Recreational Vehicle Estimate</t>
  </si>
  <si>
    <t>County Treas 16/20M Vehicle Estimate</t>
  </si>
  <si>
    <t>County Treas Commercial Vehicle Tax Estimate</t>
  </si>
  <si>
    <t>County Treas Watercraft Tax Estimate</t>
  </si>
  <si>
    <t>Commercial Vehicle Tax</t>
  </si>
  <si>
    <t>Watercraft Tax</t>
  </si>
  <si>
    <t>1.  Various workbook changes associated with commercial vehicle and watercraft tax estimates.</t>
  </si>
  <si>
    <t>1.  Inserted 2014 CPI percentage on computation tab.</t>
  </si>
  <si>
    <t>2.  Corrected formula in cell d24 of library grant tab.</t>
  </si>
  <si>
    <t>Resolution required?  Vote publication required?</t>
  </si>
  <si>
    <t>or adoption of a resolution prior to adoption of the budget (14 plus 16)</t>
  </si>
  <si>
    <t xml:space="preserve">you must, prior to adoption of such budget, adopt a resolution authorizing such levy and, subsequent to adoption of such budget, publish notice of vote by the governing body to adopt such budget in the official county newspaper and </t>
  </si>
  <si>
    <t>Resolution?  Vote publication required?</t>
  </si>
  <si>
    <t>Mill Levy*</t>
  </si>
  <si>
    <t>RESOLUTION NO._________</t>
  </si>
  <si>
    <t>Whereas, K.S.A. 79-2925b, as amended, also provides that current year revenue that is produced and attributable to the taxation of (1) new improvements, (2) increased personal property valuation other than increased valuation of oil and gas leaseholds and mobile homes, (3) property located within added jurisdictional territory, and (4) property which has changed in use shall not be considered when determining whether revenue produced from property tax has increased from the preceding year; and</t>
  </si>
  <si>
    <t>Whereas, the cost of providing these services continues to increase.</t>
  </si>
  <si>
    <t>__________________________________</t>
  </si>
  <si>
    <t>The following changes were made to this workbook on 10/1/2015</t>
  </si>
  <si>
    <t xml:space="preserve">The Special District for Library workbook is designed with having up to sixteen countys providing taxing support. </t>
  </si>
  <si>
    <t>The following changes were made to this workbook on 1/21/2016</t>
  </si>
  <si>
    <t>1.  On tax levy funds NR estimate shown as a negative receipt.</t>
  </si>
  <si>
    <t>The following changes were made to this workbook on 2/3/2016</t>
  </si>
  <si>
    <t>1.  Inserted 2015 CPI percentage on computation tab.</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</si>
  <si>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</si>
  <si>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</si>
  <si>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</si>
  <si>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</si>
  <si>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</si>
  <si>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The following changes were made to this workbook on 1/22/2015</t>
  </si>
  <si>
    <t>The following changes were made to this workbook on 10/30/2014</t>
  </si>
  <si>
    <t>The following changes were made to this workbook on 8/27/2014</t>
  </si>
  <si>
    <t>1.  Entered default general fund levy authority statute citation in cell c25 of the certificate page tab.</t>
  </si>
  <si>
    <t>The following changes were made to this workbook on 5/23/2014</t>
  </si>
  <si>
    <t>The following changes were made to this workbook on 4/21/2014</t>
  </si>
  <si>
    <t>The following changes were made to this workbook on 3/27/2013</t>
  </si>
  <si>
    <t>1.  Instruction tab narrative modification.</t>
  </si>
  <si>
    <t>The following changes were made to this workbook on 1/31/2013</t>
  </si>
  <si>
    <t>1.  Corrected formula in cell e28 of Library Grant tab.</t>
  </si>
  <si>
    <t>The following changes were made to this workbook on 10/10/2012</t>
  </si>
  <si>
    <t>1.  Added "resolution required?  yes/no" message to area adjacent to each tax levy fund.</t>
  </si>
  <si>
    <t>The following changes were made to this workbook on 4/10/2012</t>
  </si>
  <si>
    <t>The following changes were made to this workbook on 2/22/2012</t>
  </si>
  <si>
    <t>1. Library Grant tab, updated State Library e-mail contact address.</t>
  </si>
  <si>
    <t>The following changes were made to this workbook on 1/31/2012</t>
  </si>
  <si>
    <t>1. Instruction tab, added new line 5c for explain about library grant.</t>
  </si>
  <si>
    <t>2. Instruction tab, added new line 11 explain how tab is link with library fund page which is used to determine if a grant approved by State Library.</t>
  </si>
  <si>
    <t>3. Instruction tab, changed all item numbers after #11 was added.</t>
  </si>
  <si>
    <t>The following changes were made to this workbook on 1/23/2012</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</si>
  <si>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</si>
  <si>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</si>
  <si>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</si>
  <si>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</si>
  <si>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</si>
  <si>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</si>
  <si>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</si>
  <si>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</si>
  <si>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</si>
  <si>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</si>
  <si>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11. InputPrYr tab, added column for adjusting ad valorem taxes to reflect a better picture of actual taxes received, allow a rate to be used to compute the new amount, and links the new amounts to the appropriate fund page, if used, otherwise used the original amounts.</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</si>
  <si>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</si>
  <si>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</si>
  <si>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</si>
  <si>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</si>
  <si>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</si>
  <si>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</si>
  <si>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</si>
  <si>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</si>
  <si>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20. Change out the 'Mill Rate Computation' tab so to agree with the website.</t>
  </si>
  <si>
    <t>21. All tax levy fund pages added 'Mill Rate Comparison' table.</t>
  </si>
  <si>
    <t>22. Certificate tab added a place for the email address of the assisted by.</t>
  </si>
  <si>
    <t>The following changes were made to this workbook on 4/19/2011</t>
  </si>
  <si>
    <t>1. Summ tab changed proposed year expenditure column to 'Budget Authority for Expenditures.'</t>
  </si>
  <si>
    <t>2. Summ tab actual total computation amended.</t>
  </si>
  <si>
    <t>The following changes were made to this workbook on 10/28/2010</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</si>
  <si>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</si>
  <si>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</si>
  <si>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</si>
  <si>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</si>
  <si>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</si>
  <si>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</si>
  <si>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</si>
  <si>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</si>
  <si>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</si>
  <si>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</si>
  <si>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</si>
  <si>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</si>
  <si>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</si>
  <si>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</si>
  <si>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</si>
  <si>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</si>
  <si>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</si>
  <si>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</si>
  <si>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</si>
  <si>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</si>
  <si>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</si>
  <si>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</si>
  <si>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</si>
  <si>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The following changes were made to this workbook on 1/05/2010</t>
  </si>
  <si>
    <t>1. Instruction tab added line 8b concerning schedule of transfers adjustments.</t>
  </si>
  <si>
    <t>2. Transfers tab changed note so to identify current and proposed columns for non-budgeted funds transfers.</t>
  </si>
  <si>
    <t>3. Transfers tab changed first two column heading adding 'expenditures' and 'receipts.'</t>
  </si>
  <si>
    <t>The following changes were made to this workbook on 12/28/2009</t>
  </si>
  <si>
    <t>1. Nhood tab added note for computing table.</t>
  </si>
  <si>
    <t>The following changes were made to this workbook on 12/08/2009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</si>
  <si>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</si>
  <si>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</si>
  <si>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</si>
  <si>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</si>
  <si>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The following changes were made to this workbook on 9/30/2009</t>
  </si>
  <si>
    <t>2. InputPryr tab change Bond &amp; Interest to Debt Service.</t>
  </si>
  <si>
    <t>3. InputOth tab change Bond &amp; Interest to Debt Service.</t>
  </si>
  <si>
    <t>10. Added tab 'TransferStatutes.'</t>
  </si>
  <si>
    <t>5. Added tab 'NonBudFunds.'</t>
  </si>
  <si>
    <t>6. Added 'See Tab A - E' for violations.</t>
  </si>
  <si>
    <t>7. Instruction tab added 10e and 7c, and changed 10c, 10d, and 10h.</t>
  </si>
  <si>
    <t>8. Changed each fund page taking out the 'Yes' and 'No' and replacing with See Tab for violation.</t>
  </si>
  <si>
    <t>9. Nhood tab changed the Net valuation to July 1.</t>
  </si>
  <si>
    <t>10. Certificate tab moved the Assisted By: and added more lines for governing body signatures.</t>
  </si>
  <si>
    <t>The following were changed to this spreadsheet on 3/19/2009</t>
  </si>
  <si>
    <t>1. Certificate page changed fund name from Bond &amp; Interest to Debt Service.</t>
  </si>
  <si>
    <t>2. Debt Service fund page change fund name from Bond &amp; Interest to Debt Service.</t>
  </si>
  <si>
    <t>3. Budget Summary changed fund name from Bond &amp; Interest to Debt Service.</t>
  </si>
  <si>
    <t>The following were changed to this spreadsheet on 2/23/2009</t>
  </si>
  <si>
    <t>The following were changed to this spreadsheet on 5/27/2008</t>
  </si>
  <si>
    <t>1. Input page (inputPrYr) changed to allow for sixteen county information versus fourteen.</t>
  </si>
  <si>
    <t>2. Input page (inputOth) changed the County Treasurery and Clerk to allow for sixteen county information versus fourteen.</t>
  </si>
  <si>
    <t>3. Certificate Page (cert) changed to allow for sixteen county information versus fourteen.</t>
  </si>
  <si>
    <t>4. Changed the instructions to reflect spreadsheet allows information from sixteen counties versus fourteen.</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</si>
  <si>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</si>
  <si>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</si>
  <si>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</si>
  <si>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</si>
  <si>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</si>
  <si>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</si>
  <si>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</si>
  <si>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</si>
  <si>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</si>
  <si>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</si>
  <si>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</si>
  <si>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</si>
  <si>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</si>
  <si>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14. Added another space for "assisted by" on Certificate allowing two lines for name of company.</t>
  </si>
  <si>
    <t>15. Increase the # of counties from 5 to 14 and link to Certificate and Computation to Determine Limit.</t>
  </si>
  <si>
    <t>16. Changed the Certification page listing 'Publication' to Budget Summary.</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</si>
</sst>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
    <numFmt numFmtId="190" formatCode="0.0%"/>
    <numFmt numFmtId="191" formatCode="#,##0.000_);[Red]\(#,##0.000\)"/>
    <numFmt numFmtId="192" formatCode="m/d/yy;@"/>
  </numFmts>
  <fonts count="98">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b/>
      <sz val="12"/>
      <color indexed="10"/>
      <name val="Times New Roman"/>
      <family val="1"/>
    </font>
    <font>
      <sz val="12"/>
      <color indexed="10"/>
      <name val="Courier"/>
      <family val="3"/>
    </font>
    <font>
      <sz val="8"/>
      <name val="Times New Roman"/>
      <family val="1"/>
    </font>
    <font>
      <i/>
      <sz val="12"/>
      <name val="Times New Roman"/>
      <family val="1"/>
    </font>
    <font>
      <b/>
      <sz val="14"/>
      <name val="Times New Roman"/>
      <family val="1"/>
    </font>
    <font>
      <sz val="12"/>
      <color indexed="8"/>
      <name val="Times New Roman"/>
      <family val="1"/>
    </font>
    <font>
      <b/>
      <sz val="12"/>
      <color indexed="8"/>
      <name val="Times New Roman"/>
      <family val="1"/>
    </font>
    <font>
      <b/>
      <u val="single"/>
      <sz val="8"/>
      <color indexed="10"/>
      <name val="Times New Roman"/>
      <family val="1"/>
    </font>
    <font>
      <u val="single"/>
      <sz val="12"/>
      <color indexed="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2"/>
      <name val="Arial"/>
      <family val="2"/>
    </font>
    <font>
      <i/>
      <sz val="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b/>
      <sz val="10"/>
      <color indexed="10"/>
      <name val="Times New Roman"/>
      <family val="1"/>
    </font>
    <font>
      <b/>
      <u val="single"/>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1"/>
      <color theme="1"/>
      <name val="Cambria"/>
      <family val="1"/>
    </font>
    <font>
      <sz val="11"/>
      <color rgb="FF000000"/>
      <name val="Cambria"/>
      <family val="1"/>
    </font>
    <font>
      <sz val="12"/>
      <color rgb="FF000000"/>
      <name val="Times New Roman"/>
      <family val="1"/>
    </font>
    <font>
      <b/>
      <sz val="12"/>
      <color rgb="FF000000"/>
      <name val="Times New Roman"/>
      <family val="1"/>
    </font>
    <font>
      <b/>
      <sz val="12"/>
      <color rgb="FFFF0000"/>
      <name val="Times New Roman"/>
      <family val="1"/>
    </font>
    <font>
      <b/>
      <u val="single"/>
      <sz val="12"/>
      <color rgb="FFFF0000"/>
      <name val="Times New Roman"/>
      <family val="1"/>
    </font>
    <font>
      <sz val="10"/>
      <color rgb="FFFF0000"/>
      <name val="Times New Roman"/>
      <family val="1"/>
    </font>
    <font>
      <sz val="12"/>
      <color rgb="FFFF0000"/>
      <name val="Times New Roman"/>
      <family val="1"/>
    </font>
    <font>
      <b/>
      <sz val="10"/>
      <color rgb="FFFF0000"/>
      <name val="Times New Roman"/>
      <family val="1"/>
    </font>
    <font>
      <b/>
      <u val="single"/>
      <sz val="11"/>
      <color theme="1"/>
      <name val="Calibri"/>
      <family val="2"/>
    </font>
    <font>
      <b/>
      <sz val="14"/>
      <color theme="1"/>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5"/>
        <bgColor indexed="64"/>
      </patternFill>
    </fill>
    <fill>
      <patternFill patternType="solid">
        <fgColor indexed="11"/>
        <bgColor indexed="64"/>
      </patternFill>
    </fill>
    <fill>
      <patternFill patternType="solid">
        <fgColor indexed="3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rgb="FFFFFF5D"/>
        <bgColor indexed="64"/>
      </patternFill>
    </fill>
    <fill>
      <patternFill patternType="solid">
        <fgColor rgb="FFFFFF61"/>
        <bgColor indexed="64"/>
      </patternFill>
    </fill>
    <fill>
      <patternFill patternType="solid">
        <fgColor rgb="FFFFFFC0"/>
        <bgColor indexed="64"/>
      </patternFill>
    </fill>
    <fill>
      <patternFill patternType="solid">
        <fgColor rgb="FFFF000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indexed="34"/>
        <bgColor indexed="64"/>
      </patternFill>
    </fill>
    <fill>
      <patternFill patternType="solid">
        <fgColor indexed="41"/>
        <bgColor indexed="64"/>
      </patternFill>
    </fill>
    <fill>
      <patternFill patternType="solid">
        <fgColor indexed="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style="thin"/>
      <bottom style="double"/>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color indexed="63"/>
      </top>
      <bottom style="double"/>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11"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1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0" borderId="0">
      <alignment/>
      <protection/>
    </xf>
    <xf numFmtId="0" fontId="69" fillId="0" borderId="0">
      <alignment/>
      <protection/>
    </xf>
    <xf numFmtId="0" fontId="69" fillId="0" borderId="0">
      <alignment/>
      <protection/>
    </xf>
    <xf numFmtId="0" fontId="0" fillId="0" borderId="0">
      <alignment/>
      <protection/>
    </xf>
    <xf numFmtId="0" fontId="0" fillId="0" borderId="0">
      <alignment/>
      <protection/>
    </xf>
    <xf numFmtId="0" fontId="6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1010">
    <xf numFmtId="0" fontId="0" fillId="0" borderId="0" xfId="0" applyAlignment="1">
      <alignment/>
    </xf>
    <xf numFmtId="0" fontId="4" fillId="0" borderId="0" xfId="0" applyFont="1" applyAlignment="1">
      <alignment/>
    </xf>
    <xf numFmtId="0" fontId="4" fillId="0" borderId="0" xfId="0" applyFont="1" applyAlignment="1">
      <alignment wrapText="1"/>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lignment vertical="center" wrapText="1"/>
    </xf>
    <xf numFmtId="0" fontId="4" fillId="33" borderId="0" xfId="0" applyFont="1" applyFill="1" applyAlignment="1" applyProtection="1">
      <alignment vertical="center" wrapText="1"/>
      <protection/>
    </xf>
    <xf numFmtId="0" fontId="4" fillId="34"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Font="1" applyAlignment="1" applyProtection="1">
      <alignment vertical="center"/>
      <protection locked="0"/>
    </xf>
    <xf numFmtId="0" fontId="4" fillId="33" borderId="0" xfId="0" applyFont="1" applyFill="1" applyAlignment="1" applyProtection="1">
      <alignment horizontal="left" vertical="center"/>
      <protection/>
    </xf>
    <xf numFmtId="0" fontId="4" fillId="33" borderId="0" xfId="0" applyFont="1" applyFill="1" applyAlignment="1" applyProtection="1">
      <alignment vertical="center"/>
      <protection/>
    </xf>
    <xf numFmtId="0" fontId="5" fillId="33" borderId="0" xfId="0" applyFont="1" applyFill="1" applyAlignment="1" applyProtection="1">
      <alignment horizontal="left" vertical="center"/>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vertical="center"/>
      <protection/>
    </xf>
    <xf numFmtId="0" fontId="4" fillId="35" borderId="10" xfId="0" applyFont="1" applyFill="1" applyBorder="1" applyAlignment="1" applyProtection="1">
      <alignment vertical="center"/>
      <protection locked="0"/>
    </xf>
    <xf numFmtId="0" fontId="5" fillId="33" borderId="0" xfId="0" applyFont="1" applyFill="1" applyAlignment="1" applyProtection="1">
      <alignment vertical="center"/>
      <protection/>
    </xf>
    <xf numFmtId="0" fontId="5" fillId="35" borderId="11" xfId="0" applyFont="1" applyFill="1" applyBorder="1" applyAlignment="1" applyProtection="1">
      <alignment horizontal="center" vertical="center"/>
      <protection locked="0"/>
    </xf>
    <xf numFmtId="0" fontId="4" fillId="33" borderId="0" xfId="0" applyFont="1" applyFill="1" applyAlignment="1" applyProtection="1">
      <alignment horizontal="centerContinuous" vertical="center"/>
      <protection/>
    </xf>
    <xf numFmtId="37" fontId="14" fillId="33" borderId="0" xfId="0" applyNumberFormat="1" applyFont="1" applyFill="1" applyAlignment="1" applyProtection="1">
      <alignment horizontal="center" vertical="center"/>
      <protection/>
    </xf>
    <xf numFmtId="0" fontId="4" fillId="33"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3" xfId="0" applyFont="1" applyFill="1" applyBorder="1" applyAlignment="1" applyProtection="1">
      <alignment horizontal="center" vertical="center"/>
      <protection/>
    </xf>
    <xf numFmtId="0" fontId="4" fillId="33" borderId="11" xfId="0" applyFont="1" applyFill="1" applyBorder="1" applyAlignment="1" applyProtection="1">
      <alignment horizontal="left" vertical="center"/>
      <protection/>
    </xf>
    <xf numFmtId="3" fontId="4" fillId="35" borderId="11" xfId="0" applyNumberFormat="1" applyFont="1" applyFill="1" applyBorder="1" applyAlignment="1" applyProtection="1">
      <alignment vertical="center"/>
      <protection locked="0"/>
    </xf>
    <xf numFmtId="0" fontId="4" fillId="33" borderId="11" xfId="0" applyFont="1" applyFill="1" applyBorder="1" applyAlignment="1" applyProtection="1">
      <alignment horizontal="center" vertical="center"/>
      <protection locked="0"/>
    </xf>
    <xf numFmtId="3" fontId="4" fillId="33" borderId="0" xfId="0" applyNumberFormat="1" applyFont="1" applyFill="1" applyAlignment="1" applyProtection="1">
      <alignment vertical="center"/>
      <protection/>
    </xf>
    <xf numFmtId="0" fontId="4" fillId="35" borderId="11" xfId="0" applyFont="1" applyFill="1" applyBorder="1" applyAlignment="1" applyProtection="1">
      <alignment vertical="center"/>
      <protection locked="0"/>
    </xf>
    <xf numFmtId="0" fontId="4" fillId="33" borderId="14" xfId="0" applyFont="1" applyFill="1" applyBorder="1" applyAlignment="1" applyProtection="1">
      <alignment horizontal="left" vertical="center"/>
      <protection/>
    </xf>
    <xf numFmtId="0" fontId="4" fillId="33" borderId="14" xfId="0" applyFont="1" applyFill="1" applyBorder="1" applyAlignment="1" applyProtection="1">
      <alignment vertical="center"/>
      <protection/>
    </xf>
    <xf numFmtId="3" fontId="4" fillId="33" borderId="15" xfId="0" applyNumberFormat="1" applyFont="1" applyFill="1" applyBorder="1" applyAlignment="1" applyProtection="1">
      <alignment vertical="center"/>
      <protection/>
    </xf>
    <xf numFmtId="3" fontId="4" fillId="37" borderId="16" xfId="0" applyNumberFormat="1" applyFont="1" applyFill="1" applyBorder="1" applyAlignment="1" applyProtection="1">
      <alignment vertical="center"/>
      <protection/>
    </xf>
    <xf numFmtId="37" fontId="4" fillId="33" borderId="0" xfId="0" applyNumberFormat="1" applyFont="1" applyFill="1" applyAlignment="1" applyProtection="1">
      <alignment horizontal="left" vertical="center"/>
      <protection/>
    </xf>
    <xf numFmtId="0" fontId="4" fillId="33" borderId="17" xfId="0" applyFont="1" applyFill="1" applyBorder="1" applyAlignment="1" applyProtection="1">
      <alignment vertical="center"/>
      <protection/>
    </xf>
    <xf numFmtId="3" fontId="4" fillId="37" borderId="18" xfId="0" applyNumberFormat="1" applyFont="1" applyFill="1" applyBorder="1" applyAlignment="1" applyProtection="1">
      <alignment vertical="center"/>
      <protection/>
    </xf>
    <xf numFmtId="0" fontId="4" fillId="35" borderId="11" xfId="0" applyFont="1" applyFill="1" applyBorder="1" applyAlignment="1" applyProtection="1">
      <alignment vertical="center"/>
      <protection locked="0"/>
    </xf>
    <xf numFmtId="0" fontId="4" fillId="33" borderId="11" xfId="0" applyFont="1" applyFill="1" applyBorder="1" applyAlignment="1" applyProtection="1">
      <alignment vertical="center"/>
      <protection/>
    </xf>
    <xf numFmtId="164" fontId="4" fillId="35" borderId="11" xfId="0" applyNumberFormat="1" applyFont="1" applyFill="1" applyBorder="1" applyAlignment="1" applyProtection="1">
      <alignment vertical="center"/>
      <protection locked="0"/>
    </xf>
    <xf numFmtId="164" fontId="4" fillId="37" borderId="18" xfId="0" applyNumberFormat="1" applyFont="1" applyFill="1" applyBorder="1" applyAlignment="1" applyProtection="1">
      <alignment vertical="center"/>
      <protection/>
    </xf>
    <xf numFmtId="3" fontId="4" fillId="33" borderId="0" xfId="0" applyNumberFormat="1" applyFont="1" applyFill="1" applyBorder="1" applyAlignment="1" applyProtection="1">
      <alignment vertical="center"/>
      <protection locked="0"/>
    </xf>
    <xf numFmtId="0" fontId="4" fillId="33" borderId="14" xfId="0" applyFont="1" applyFill="1" applyBorder="1" applyAlignment="1" applyProtection="1">
      <alignment horizontal="center" vertical="center"/>
      <protection/>
    </xf>
    <xf numFmtId="0" fontId="4" fillId="36" borderId="14" xfId="0" applyFont="1" applyFill="1" applyBorder="1" applyAlignment="1" applyProtection="1">
      <alignment vertical="center"/>
      <protection/>
    </xf>
    <xf numFmtId="3" fontId="4" fillId="35" borderId="11" xfId="0" applyNumberFormat="1" applyFont="1" applyFill="1" applyBorder="1" applyAlignment="1" applyProtection="1">
      <alignment vertical="center"/>
      <protection locked="0"/>
    </xf>
    <xf numFmtId="0" fontId="4" fillId="33" borderId="15" xfId="0" applyFont="1" applyFill="1" applyBorder="1" applyAlignment="1" applyProtection="1">
      <alignment vertical="center"/>
      <protection/>
    </xf>
    <xf numFmtId="0" fontId="4" fillId="33" borderId="10" xfId="0" applyFont="1" applyFill="1" applyBorder="1" applyAlignment="1" applyProtection="1">
      <alignment vertical="center"/>
      <protection/>
    </xf>
    <xf numFmtId="0" fontId="4" fillId="33" borderId="0" xfId="0" applyFont="1" applyFill="1" applyAlignment="1">
      <alignment vertical="center"/>
    </xf>
    <xf numFmtId="0" fontId="0" fillId="0" borderId="0" xfId="0" applyAlignment="1">
      <alignment vertical="center"/>
    </xf>
    <xf numFmtId="0" fontId="0" fillId="33" borderId="0" xfId="0" applyFill="1" applyAlignment="1">
      <alignment vertical="center"/>
    </xf>
    <xf numFmtId="0" fontId="15" fillId="33" borderId="0" xfId="0" applyFont="1" applyFill="1" applyAlignment="1">
      <alignment horizontal="center" vertical="center"/>
    </xf>
    <xf numFmtId="0" fontId="5" fillId="36" borderId="19" xfId="0" applyFont="1" applyFill="1" applyBorder="1" applyAlignment="1" applyProtection="1">
      <alignment horizontal="center" vertical="center"/>
      <protection/>
    </xf>
    <xf numFmtId="0" fontId="0" fillId="36" borderId="20" xfId="0" applyFill="1" applyBorder="1" applyAlignment="1">
      <alignment horizontal="center" vertical="center"/>
    </xf>
    <xf numFmtId="0" fontId="5" fillId="36" borderId="21" xfId="0" applyFont="1" applyFill="1" applyBorder="1" applyAlignment="1" applyProtection="1">
      <alignment horizontal="center" vertical="center"/>
      <protection/>
    </xf>
    <xf numFmtId="0" fontId="0" fillId="36" borderId="0" xfId="0" applyFill="1" applyBorder="1" applyAlignment="1">
      <alignment horizontal="center" vertical="center"/>
    </xf>
    <xf numFmtId="37" fontId="4" fillId="36" borderId="22" xfId="0" applyNumberFormat="1" applyFont="1" applyFill="1" applyBorder="1" applyAlignment="1" applyProtection="1">
      <alignment horizontal="center" vertical="center"/>
      <protection/>
    </xf>
    <xf numFmtId="37" fontId="4" fillId="33" borderId="22" xfId="0" applyNumberFormat="1" applyFont="1" applyFill="1" applyBorder="1" applyAlignment="1" applyProtection="1">
      <alignment horizontal="left" vertical="center"/>
      <protection/>
    </xf>
    <xf numFmtId="3" fontId="4" fillId="35" borderId="13" xfId="0" applyNumberFormat="1" applyFont="1" applyFill="1" applyBorder="1" applyAlignment="1" applyProtection="1">
      <alignment vertical="center"/>
      <protection locked="0"/>
    </xf>
    <xf numFmtId="3" fontId="4" fillId="35" borderId="22" xfId="0" applyNumberFormat="1" applyFont="1" applyFill="1" applyBorder="1" applyAlignment="1" applyProtection="1">
      <alignment vertical="center"/>
      <protection locked="0"/>
    </xf>
    <xf numFmtId="37" fontId="4" fillId="33" borderId="23" xfId="0" applyNumberFormat="1" applyFont="1" applyFill="1" applyBorder="1" applyAlignment="1" applyProtection="1">
      <alignment horizontal="left" vertical="center"/>
      <protection/>
    </xf>
    <xf numFmtId="3" fontId="4" fillId="35" borderId="23" xfId="0" applyNumberFormat="1" applyFont="1" applyFill="1" applyBorder="1" applyAlignment="1" applyProtection="1">
      <alignment vertical="center"/>
      <protection locked="0"/>
    </xf>
    <xf numFmtId="3" fontId="4" fillId="35" borderId="12" xfId="0" applyNumberFormat="1" applyFont="1" applyFill="1" applyBorder="1" applyAlignment="1" applyProtection="1">
      <alignment vertical="center"/>
      <protection locked="0"/>
    </xf>
    <xf numFmtId="3" fontId="4" fillId="35" borderId="19" xfId="0" applyNumberFormat="1" applyFont="1" applyFill="1" applyBorder="1" applyAlignment="1" applyProtection="1">
      <alignment vertical="center"/>
      <protection locked="0"/>
    </xf>
    <xf numFmtId="3" fontId="4" fillId="35" borderId="12" xfId="0" applyNumberFormat="1" applyFont="1" applyFill="1" applyBorder="1" applyAlignment="1" applyProtection="1">
      <alignment vertical="center"/>
      <protection locked="0"/>
    </xf>
    <xf numFmtId="3" fontId="4" fillId="37" borderId="18" xfId="0" applyNumberFormat="1" applyFont="1" applyFill="1" applyBorder="1" applyAlignment="1">
      <alignment vertical="center"/>
    </xf>
    <xf numFmtId="37" fontId="4" fillId="33" borderId="21" xfId="0" applyNumberFormat="1" applyFont="1" applyFill="1" applyBorder="1" applyAlignment="1" applyProtection="1">
      <alignment horizontal="left" vertical="center"/>
      <protection/>
    </xf>
    <xf numFmtId="3" fontId="4" fillId="33" borderId="0" xfId="0" applyNumberFormat="1" applyFont="1" applyFill="1" applyBorder="1" applyAlignment="1" applyProtection="1">
      <alignment vertical="center"/>
      <protection/>
    </xf>
    <xf numFmtId="0" fontId="0" fillId="33" borderId="0" xfId="0" applyFill="1" applyBorder="1" applyAlignment="1" applyProtection="1">
      <alignment vertical="center"/>
      <protection/>
    </xf>
    <xf numFmtId="37" fontId="6" fillId="33" borderId="21" xfId="0" applyNumberFormat="1" applyFont="1" applyFill="1" applyBorder="1" applyAlignment="1" applyProtection="1">
      <alignment horizontal="left" vertical="center"/>
      <protection/>
    </xf>
    <xf numFmtId="0" fontId="17" fillId="33" borderId="0" xfId="0" applyFont="1" applyFill="1" applyBorder="1" applyAlignment="1" applyProtection="1">
      <alignment horizontal="center" vertical="center"/>
      <protection/>
    </xf>
    <xf numFmtId="0" fontId="0" fillId="33" borderId="0" xfId="0" applyFill="1" applyBorder="1" applyAlignment="1">
      <alignment vertical="center"/>
    </xf>
    <xf numFmtId="0" fontId="0" fillId="33" borderId="21" xfId="0" applyFill="1" applyBorder="1" applyAlignment="1" applyProtection="1">
      <alignment vertical="center"/>
      <protection/>
    </xf>
    <xf numFmtId="182" fontId="4" fillId="37" borderId="11" xfId="0" applyNumberFormat="1" applyFont="1" applyFill="1" applyBorder="1" applyAlignment="1" applyProtection="1">
      <alignment vertical="center"/>
      <protection/>
    </xf>
    <xf numFmtId="0" fontId="0" fillId="33" borderId="14" xfId="0" applyFill="1" applyBorder="1" applyAlignment="1">
      <alignment vertical="center"/>
    </xf>
    <xf numFmtId="0" fontId="4" fillId="33" borderId="14" xfId="0" applyFont="1" applyFill="1" applyBorder="1" applyAlignment="1" applyProtection="1">
      <alignment horizontal="left" vertical="center" wrapText="1"/>
      <protection/>
    </xf>
    <xf numFmtId="0" fontId="4" fillId="33" borderId="24" xfId="0" applyFont="1" applyFill="1" applyBorder="1" applyAlignment="1" applyProtection="1">
      <alignment vertical="center"/>
      <protection/>
    </xf>
    <xf numFmtId="3" fontId="0" fillId="33" borderId="0" xfId="0" applyNumberFormat="1" applyFill="1" applyBorder="1" applyAlignment="1">
      <alignment vertical="center"/>
    </xf>
    <xf numFmtId="37" fontId="4" fillId="33" borderId="0" xfId="0" applyNumberFormat="1" applyFont="1" applyFill="1" applyBorder="1" applyAlignment="1" applyProtection="1">
      <alignment horizontal="left" vertical="center"/>
      <protection/>
    </xf>
    <xf numFmtId="0" fontId="4" fillId="33" borderId="25" xfId="0" applyFont="1" applyFill="1" applyBorder="1" applyAlignment="1" applyProtection="1">
      <alignment horizontal="center" vertical="center"/>
      <protection/>
    </xf>
    <xf numFmtId="10" fontId="4" fillId="33" borderId="0" xfId="0" applyNumberFormat="1" applyFont="1" applyFill="1" applyBorder="1" applyAlignment="1" applyProtection="1">
      <alignment vertical="center"/>
      <protection locked="0"/>
    </xf>
    <xf numFmtId="0" fontId="4" fillId="33" borderId="13" xfId="0" applyFont="1" applyFill="1" applyBorder="1" applyAlignment="1" applyProtection="1">
      <alignment horizontal="center" vertical="center"/>
      <protection/>
    </xf>
    <xf numFmtId="3" fontId="4" fillId="35" borderId="15" xfId="0" applyNumberFormat="1" applyFont="1" applyFill="1" applyBorder="1" applyAlignment="1" applyProtection="1">
      <alignment vertical="center"/>
      <protection locked="0"/>
    </xf>
    <xf numFmtId="3" fontId="4" fillId="35" borderId="17" xfId="0" applyNumberFormat="1" applyFont="1" applyFill="1" applyBorder="1" applyAlignment="1" applyProtection="1">
      <alignment vertical="center"/>
      <protection locked="0"/>
    </xf>
    <xf numFmtId="3" fontId="4" fillId="35" borderId="13" xfId="0" applyNumberFormat="1" applyFont="1" applyFill="1" applyBorder="1" applyAlignment="1" applyProtection="1">
      <alignment vertical="center"/>
      <protection locked="0"/>
    </xf>
    <xf numFmtId="0" fontId="4" fillId="33" borderId="0" xfId="0" applyFont="1" applyFill="1" applyAlignment="1" applyProtection="1">
      <alignment vertical="center"/>
      <protection locked="0"/>
    </xf>
    <xf numFmtId="3" fontId="4" fillId="35" borderId="25" xfId="0" applyNumberFormat="1" applyFont="1" applyFill="1" applyBorder="1" applyAlignment="1" applyProtection="1">
      <alignment vertical="center"/>
      <protection locked="0"/>
    </xf>
    <xf numFmtId="181" fontId="4" fillId="33" borderId="14" xfId="0" applyNumberFormat="1" applyFont="1" applyFill="1" applyBorder="1" applyAlignment="1" applyProtection="1">
      <alignment vertical="center"/>
      <protection/>
    </xf>
    <xf numFmtId="37" fontId="4" fillId="38" borderId="0" xfId="0" applyNumberFormat="1" applyFont="1" applyFill="1" applyBorder="1" applyAlignment="1" applyProtection="1">
      <alignment horizontal="left" vertical="center"/>
      <protection/>
    </xf>
    <xf numFmtId="0" fontId="18" fillId="38" borderId="0" xfId="0" applyFont="1" applyFill="1" applyAlignment="1" applyProtection="1">
      <alignment vertical="center"/>
      <protection/>
    </xf>
    <xf numFmtId="0" fontId="0" fillId="38" borderId="0" xfId="0" applyFill="1" applyAlignment="1">
      <alignment vertical="center"/>
    </xf>
    <xf numFmtId="0" fontId="18" fillId="33" borderId="0" xfId="0" applyFont="1" applyFill="1" applyBorder="1" applyAlignment="1">
      <alignment vertical="center"/>
    </xf>
    <xf numFmtId="0" fontId="20" fillId="0" borderId="0" xfId="0" applyFont="1" applyAlignment="1">
      <alignment vertical="center"/>
    </xf>
    <xf numFmtId="0" fontId="18" fillId="33" borderId="0" xfId="0" applyFont="1" applyFill="1" applyAlignment="1">
      <alignment vertical="center"/>
    </xf>
    <xf numFmtId="0" fontId="20" fillId="33" borderId="0" xfId="0" applyFont="1" applyFill="1" applyAlignment="1">
      <alignment vertical="center"/>
    </xf>
    <xf numFmtId="0" fontId="5" fillId="33" borderId="0" xfId="0" applyFont="1" applyFill="1" applyAlignment="1" applyProtection="1">
      <alignment horizontal="center" vertical="center"/>
      <protection/>
    </xf>
    <xf numFmtId="37" fontId="4" fillId="33" borderId="0" xfId="0" applyNumberFormat="1" applyFont="1" applyFill="1" applyAlignment="1" applyProtection="1">
      <alignment horizontal="centerContinuous" vertical="center"/>
      <protection/>
    </xf>
    <xf numFmtId="0" fontId="6" fillId="33" borderId="0" xfId="0" applyFont="1" applyFill="1" applyAlignment="1" applyProtection="1">
      <alignment horizontal="center" vertical="center"/>
      <protection/>
    </xf>
    <xf numFmtId="0" fontId="4" fillId="33" borderId="0" xfId="0" applyFont="1" applyFill="1" applyAlignment="1" applyProtection="1">
      <alignment horizontal="fill" vertical="center"/>
      <protection/>
    </xf>
    <xf numFmtId="0" fontId="4" fillId="33" borderId="14" xfId="0" applyFont="1" applyFill="1" applyBorder="1" applyAlignment="1" applyProtection="1">
      <alignment horizontal="fill" vertical="center"/>
      <protection/>
    </xf>
    <xf numFmtId="0" fontId="4" fillId="33" borderId="12" xfId="0" applyFont="1" applyFill="1" applyBorder="1" applyAlignment="1" applyProtection="1">
      <alignment horizontal="left" vertical="center"/>
      <protection/>
    </xf>
    <xf numFmtId="0" fontId="4" fillId="33" borderId="12" xfId="0" applyFont="1" applyFill="1" applyBorder="1" applyAlignment="1" applyProtection="1">
      <alignment horizontal="center" vertical="center" wrapText="1"/>
      <protection/>
    </xf>
    <xf numFmtId="0" fontId="4" fillId="33" borderId="26" xfId="0" applyFont="1" applyFill="1" applyBorder="1" applyAlignment="1" applyProtection="1">
      <alignment horizontal="center" vertical="center"/>
      <protection/>
    </xf>
    <xf numFmtId="0" fontId="4" fillId="0" borderId="0" xfId="0" applyFont="1" applyAlignment="1">
      <alignment horizontal="center" vertical="center"/>
    </xf>
    <xf numFmtId="0" fontId="4" fillId="33" borderId="12" xfId="0" applyFont="1" applyFill="1" applyBorder="1" applyAlignment="1" applyProtection="1">
      <alignment horizontal="center" vertical="center"/>
      <protection/>
    </xf>
    <xf numFmtId="0" fontId="4" fillId="33" borderId="24" xfId="0" applyFont="1" applyFill="1" applyBorder="1" applyAlignment="1" applyProtection="1">
      <alignment horizontal="center" vertical="center"/>
      <protection/>
    </xf>
    <xf numFmtId="0" fontId="4" fillId="33" borderId="13" xfId="0" applyFont="1" applyFill="1" applyBorder="1" applyAlignment="1" applyProtection="1">
      <alignment horizontal="fill" vertical="center"/>
      <protection/>
    </xf>
    <xf numFmtId="0" fontId="4" fillId="33" borderId="17" xfId="0" applyFont="1" applyFill="1" applyBorder="1" applyAlignment="1" applyProtection="1">
      <alignment horizontal="fill" vertical="center"/>
      <protection/>
    </xf>
    <xf numFmtId="0" fontId="4" fillId="33" borderId="23" xfId="0" applyFont="1" applyFill="1" applyBorder="1" applyAlignment="1" applyProtection="1">
      <alignment horizontal="fill" vertical="center"/>
      <protection/>
    </xf>
    <xf numFmtId="0" fontId="4" fillId="33" borderId="11" xfId="0" applyFont="1" applyFill="1" applyBorder="1" applyAlignment="1" applyProtection="1">
      <alignment horizontal="center" vertical="center"/>
      <protection/>
    </xf>
    <xf numFmtId="0" fontId="4" fillId="33" borderId="0" xfId="0" applyFont="1" applyFill="1" applyBorder="1" applyAlignment="1" applyProtection="1">
      <alignment horizontal="fill" vertical="center"/>
      <protection/>
    </xf>
    <xf numFmtId="0" fontId="4" fillId="33" borderId="26" xfId="0" applyFont="1" applyFill="1" applyBorder="1" applyAlignment="1" applyProtection="1">
      <alignment horizontal="fill" vertical="center"/>
      <protection/>
    </xf>
    <xf numFmtId="0" fontId="4" fillId="33" borderId="24" xfId="0" applyFont="1" applyFill="1" applyBorder="1" applyAlignment="1" applyProtection="1">
      <alignment horizontal="fill" vertical="center"/>
      <protection/>
    </xf>
    <xf numFmtId="0" fontId="4" fillId="33" borderId="22" xfId="0" applyFont="1" applyFill="1" applyBorder="1" applyAlignment="1" applyProtection="1">
      <alignment vertical="center"/>
      <protection/>
    </xf>
    <xf numFmtId="0" fontId="4" fillId="33" borderId="23" xfId="0" applyFont="1" applyFill="1" applyBorder="1" applyAlignment="1" applyProtection="1">
      <alignment horizontal="left" vertical="center"/>
      <protection/>
    </xf>
    <xf numFmtId="3" fontId="4" fillId="33" borderId="11" xfId="0" applyNumberFormat="1" applyFont="1" applyFill="1" applyBorder="1" applyAlignment="1" applyProtection="1">
      <alignment horizontal="center" vertical="center"/>
      <protection/>
    </xf>
    <xf numFmtId="3" fontId="4" fillId="33" borderId="13" xfId="0" applyNumberFormat="1" applyFont="1" applyFill="1" applyBorder="1" applyAlignment="1" applyProtection="1">
      <alignment vertical="center"/>
      <protection/>
    </xf>
    <xf numFmtId="3" fontId="4" fillId="33" borderId="11" xfId="0" applyNumberFormat="1" applyFont="1" applyFill="1" applyBorder="1" applyAlignment="1" applyProtection="1">
      <alignment vertical="center"/>
      <protection/>
    </xf>
    <xf numFmtId="0" fontId="4" fillId="33" borderId="23" xfId="0" applyFont="1" applyFill="1" applyBorder="1" applyAlignment="1" applyProtection="1">
      <alignment vertical="center"/>
      <protection/>
    </xf>
    <xf numFmtId="0" fontId="4" fillId="33" borderId="15" xfId="0" applyFont="1" applyFill="1" applyBorder="1" applyAlignment="1" applyProtection="1">
      <alignment horizontal="center" vertical="center"/>
      <protection/>
    </xf>
    <xf numFmtId="3" fontId="4" fillId="33" borderId="15" xfId="0" applyNumberFormat="1" applyFont="1" applyFill="1" applyBorder="1" applyAlignment="1" applyProtection="1">
      <alignment horizontal="center" vertical="center"/>
      <protection/>
    </xf>
    <xf numFmtId="37" fontId="4" fillId="33" borderId="11" xfId="0" applyNumberFormat="1" applyFont="1" applyFill="1" applyBorder="1" applyAlignment="1" applyProtection="1">
      <alignment vertical="center"/>
      <protection/>
    </xf>
    <xf numFmtId="0" fontId="4" fillId="33" borderId="19" xfId="0" applyFont="1" applyFill="1" applyBorder="1" applyAlignment="1" applyProtection="1">
      <alignment vertical="center"/>
      <protection/>
    </xf>
    <xf numFmtId="0" fontId="4" fillId="33" borderId="20" xfId="0" applyFont="1" applyFill="1" applyBorder="1" applyAlignment="1" applyProtection="1">
      <alignment vertical="center"/>
      <protection/>
    </xf>
    <xf numFmtId="164" fontId="4" fillId="33" borderId="12" xfId="0" applyNumberFormat="1" applyFont="1" applyFill="1" applyBorder="1" applyAlignment="1" applyProtection="1">
      <alignment vertical="center"/>
      <protection/>
    </xf>
    <xf numFmtId="0" fontId="5" fillId="33" borderId="23" xfId="0" applyFont="1" applyFill="1" applyBorder="1" applyAlignment="1" applyProtection="1">
      <alignment horizontal="left" vertical="center"/>
      <protection/>
    </xf>
    <xf numFmtId="0" fontId="4" fillId="33" borderId="11" xfId="0" applyFont="1" applyFill="1" applyBorder="1" applyAlignment="1" applyProtection="1">
      <alignment horizontal="fill" vertical="center"/>
      <protection/>
    </xf>
    <xf numFmtId="165" fontId="4" fillId="33" borderId="11" xfId="0" applyNumberFormat="1" applyFont="1" applyFill="1" applyBorder="1" applyAlignment="1" applyProtection="1">
      <alignment horizontal="center" vertical="center"/>
      <protection/>
    </xf>
    <xf numFmtId="0" fontId="4" fillId="33" borderId="0" xfId="0" applyFont="1" applyFill="1" applyBorder="1" applyAlignment="1">
      <alignment horizontal="center" vertical="center" shrinkToFit="1"/>
    </xf>
    <xf numFmtId="0" fontId="18" fillId="33" borderId="0" xfId="0" applyFont="1" applyFill="1" applyBorder="1" applyAlignment="1" applyProtection="1">
      <alignment horizontal="center" vertical="center"/>
      <protection/>
    </xf>
    <xf numFmtId="165" fontId="4" fillId="33" borderId="0" xfId="0" applyNumberFormat="1" applyFont="1" applyFill="1" applyBorder="1" applyAlignment="1" applyProtection="1">
      <alignment horizontal="center" vertical="center"/>
      <protection/>
    </xf>
    <xf numFmtId="0" fontId="4" fillId="33" borderId="11"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22" xfId="0" applyFont="1" applyFill="1" applyBorder="1" applyAlignment="1" applyProtection="1">
      <alignment horizontal="left" vertical="center"/>
      <protection/>
    </xf>
    <xf numFmtId="3" fontId="4" fillId="33" borderId="15" xfId="42" applyNumberFormat="1" applyFont="1" applyFill="1" applyBorder="1" applyAlignment="1" applyProtection="1">
      <alignment vertical="center"/>
      <protection/>
    </xf>
    <xf numFmtId="0" fontId="4" fillId="34" borderId="23" xfId="0" applyFont="1" applyFill="1" applyBorder="1" applyAlignment="1" applyProtection="1">
      <alignment horizontal="left" vertical="center"/>
      <protection/>
    </xf>
    <xf numFmtId="0" fontId="4" fillId="34" borderId="15" xfId="0" applyFont="1" applyFill="1" applyBorder="1" applyAlignment="1" applyProtection="1">
      <alignment vertical="center"/>
      <protection/>
    </xf>
    <xf numFmtId="3" fontId="4" fillId="37" borderId="11" xfId="0" applyNumberFormat="1" applyFont="1" applyFill="1" applyBorder="1" applyAlignment="1" applyProtection="1">
      <alignment vertical="center"/>
      <protection/>
    </xf>
    <xf numFmtId="3" fontId="4" fillId="33" borderId="0" xfId="42" applyNumberFormat="1" applyFont="1" applyFill="1" applyBorder="1" applyAlignment="1" applyProtection="1">
      <alignment vertical="center"/>
      <protection/>
    </xf>
    <xf numFmtId="0" fontId="8" fillId="33" borderId="0" xfId="0" applyFont="1" applyFill="1" applyAlignment="1" applyProtection="1">
      <alignment vertical="center"/>
      <protection/>
    </xf>
    <xf numFmtId="0" fontId="4" fillId="35" borderId="14"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5" fillId="33" borderId="0" xfId="0" applyFont="1" applyFill="1" applyAlignment="1" applyProtection="1">
      <alignment horizontal="center" vertical="center" wrapText="1"/>
      <protection/>
    </xf>
    <xf numFmtId="0" fontId="4" fillId="33" borderId="0" xfId="0" applyFont="1" applyFill="1" applyAlignment="1" applyProtection="1" quotePrefix="1">
      <alignment vertical="center"/>
      <protection/>
    </xf>
    <xf numFmtId="3" fontId="4" fillId="33" borderId="0" xfId="0" applyNumberFormat="1" applyFont="1" applyFill="1" applyAlignment="1" applyProtection="1" quotePrefix="1">
      <alignment vertical="center"/>
      <protection/>
    </xf>
    <xf numFmtId="3" fontId="4" fillId="33" borderId="10" xfId="0" applyNumberFormat="1" applyFont="1" applyFill="1" applyBorder="1" applyAlignment="1" applyProtection="1">
      <alignment vertical="center"/>
      <protection/>
    </xf>
    <xf numFmtId="37" fontId="4" fillId="33" borderId="0" xfId="0" applyNumberFormat="1" applyFont="1" applyFill="1" applyAlignment="1" applyProtection="1">
      <alignment horizontal="right" vertical="center"/>
      <protection/>
    </xf>
    <xf numFmtId="0" fontId="4" fillId="33" borderId="0" xfId="0" applyFont="1" applyFill="1" applyAlignment="1" applyProtection="1">
      <alignment horizontal="right" vertical="center"/>
      <protection/>
    </xf>
    <xf numFmtId="37" fontId="4" fillId="33" borderId="0" xfId="0" applyNumberFormat="1" applyFont="1" applyFill="1" applyAlignment="1" applyProtection="1">
      <alignment vertical="center"/>
      <protection/>
    </xf>
    <xf numFmtId="37" fontId="4" fillId="33" borderId="14"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3" borderId="0" xfId="0" applyNumberFormat="1" applyFont="1" applyFill="1" applyAlignment="1">
      <alignment vertical="center"/>
    </xf>
    <xf numFmtId="0" fontId="5" fillId="33" borderId="14"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1" fontId="4" fillId="33" borderId="13"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5" borderId="13" xfId="0" applyFont="1" applyFill="1" applyBorder="1" applyAlignment="1" applyProtection="1">
      <alignment vertical="center"/>
      <protection locked="0"/>
    </xf>
    <xf numFmtId="171" fontId="4" fillId="35" borderId="13" xfId="42" applyNumberFormat="1" applyFont="1" applyFill="1" applyBorder="1" applyAlignment="1" applyProtection="1">
      <alignment vertical="center"/>
      <protection locked="0"/>
    </xf>
    <xf numFmtId="171" fontId="4" fillId="35" borderId="11" xfId="42" applyNumberFormat="1" applyFont="1" applyFill="1" applyBorder="1" applyAlignment="1" applyProtection="1">
      <alignment vertical="center"/>
      <protection locked="0"/>
    </xf>
    <xf numFmtId="0" fontId="6" fillId="35" borderId="11" xfId="0" applyFont="1" applyFill="1" applyBorder="1" applyAlignment="1" applyProtection="1">
      <alignment vertical="center"/>
      <protection locked="0"/>
    </xf>
    <xf numFmtId="0" fontId="5" fillId="33" borderId="11" xfId="0" applyFont="1" applyFill="1" applyBorder="1" applyAlignment="1" applyProtection="1">
      <alignment horizontal="center" vertical="center"/>
      <protection/>
    </xf>
    <xf numFmtId="3" fontId="4" fillId="37" borderId="11" xfId="0" applyNumberFormat="1" applyFont="1" applyFill="1" applyBorder="1" applyAlignment="1" applyProtection="1">
      <alignment horizontal="right" vertical="center"/>
      <protection/>
    </xf>
    <xf numFmtId="0" fontId="4" fillId="33" borderId="0" xfId="0" applyFont="1" applyFill="1" applyAlignment="1" applyProtection="1">
      <alignment horizontal="center" vertical="center"/>
      <protection locked="0"/>
    </xf>
    <xf numFmtId="37" fontId="5" fillId="33" borderId="11" xfId="0" applyNumberFormat="1" applyFont="1" applyFill="1" applyBorder="1" applyAlignment="1" applyProtection="1">
      <alignment horizontal="center" vertical="center"/>
      <protection/>
    </xf>
    <xf numFmtId="0" fontId="4" fillId="33" borderId="11" xfId="0" applyFont="1" applyFill="1" applyBorder="1" applyAlignment="1" applyProtection="1">
      <alignment horizontal="right" vertical="center"/>
      <protection/>
    </xf>
    <xf numFmtId="0" fontId="4" fillId="35" borderId="11" xfId="0" applyFont="1" applyFill="1" applyBorder="1" applyAlignment="1" applyProtection="1">
      <alignment horizontal="right" vertical="center"/>
      <protection locked="0"/>
    </xf>
    <xf numFmtId="0" fontId="4" fillId="33" borderId="0" xfId="0" applyNumberFormat="1" applyFont="1" applyFill="1" applyAlignment="1" applyProtection="1">
      <alignment horizontal="right" vertical="center"/>
      <protection/>
    </xf>
    <xf numFmtId="0" fontId="4" fillId="0" borderId="0" xfId="575" applyFont="1" applyAlignment="1" applyProtection="1">
      <alignment vertical="center"/>
      <protection locked="0"/>
    </xf>
    <xf numFmtId="0" fontId="4" fillId="33" borderId="0" xfId="575" applyFont="1" applyFill="1" applyAlignment="1" applyProtection="1">
      <alignment vertical="center"/>
      <protection/>
    </xf>
    <xf numFmtId="0" fontId="4" fillId="33" borderId="19" xfId="0" applyFont="1" applyFill="1" applyBorder="1" applyAlignment="1" applyProtection="1">
      <alignment horizontal="centerContinuous" vertical="center"/>
      <protection/>
    </xf>
    <xf numFmtId="0" fontId="4" fillId="33" borderId="26" xfId="0" applyFont="1" applyFill="1" applyBorder="1" applyAlignment="1" applyProtection="1">
      <alignment horizontal="centerContinuous" vertical="center"/>
      <protection/>
    </xf>
    <xf numFmtId="0" fontId="4" fillId="33" borderId="22" xfId="0" applyFont="1" applyFill="1" applyBorder="1" applyAlignment="1" applyProtection="1">
      <alignment horizontal="centerContinuous" vertical="center"/>
      <protection/>
    </xf>
    <xf numFmtId="0" fontId="4" fillId="33" borderId="17" xfId="0" applyFont="1" applyFill="1" applyBorder="1" applyAlignment="1" applyProtection="1">
      <alignment horizontal="centerContinuous" vertical="center"/>
      <protection/>
    </xf>
    <xf numFmtId="14" fontId="4" fillId="33" borderId="13" xfId="0" applyNumberFormat="1" applyFont="1" applyFill="1" applyBorder="1" applyAlignment="1" applyProtection="1" quotePrefix="1">
      <alignment horizontal="center" vertical="center"/>
      <protection/>
    </xf>
    <xf numFmtId="172" fontId="4" fillId="33" borderId="11" xfId="0" applyNumberFormat="1" applyFont="1" applyFill="1" applyBorder="1" applyAlignment="1" applyProtection="1">
      <alignment horizontal="left" vertical="center"/>
      <protection/>
    </xf>
    <xf numFmtId="173" fontId="4" fillId="33" borderId="11" xfId="0" applyNumberFormat="1" applyFont="1" applyFill="1" applyBorder="1" applyAlignment="1" applyProtection="1">
      <alignment horizontal="left" vertical="center"/>
      <protection/>
    </xf>
    <xf numFmtId="0" fontId="4" fillId="35" borderId="11" xfId="0" applyFont="1" applyFill="1" applyBorder="1" applyAlignment="1" applyProtection="1">
      <alignment horizontal="left" vertical="center"/>
      <protection locked="0"/>
    </xf>
    <xf numFmtId="173" fontId="4" fillId="35" borderId="11" xfId="0" applyNumberFormat="1" applyFont="1" applyFill="1" applyBorder="1" applyAlignment="1" applyProtection="1">
      <alignment horizontal="left" vertical="center"/>
      <protection locked="0"/>
    </xf>
    <xf numFmtId="2" fontId="4" fillId="35" borderId="11" xfId="0" applyNumberFormat="1" applyFont="1" applyFill="1" applyBorder="1" applyAlignment="1" applyProtection="1">
      <alignment vertical="center"/>
      <protection locked="0"/>
    </xf>
    <xf numFmtId="173" fontId="4" fillId="35" borderId="11" xfId="0" applyNumberFormat="1" applyFont="1" applyFill="1" applyBorder="1" applyAlignment="1" applyProtection="1">
      <alignment vertical="center"/>
      <protection locked="0"/>
    </xf>
    <xf numFmtId="37" fontId="4" fillId="35" borderId="11" xfId="0" applyNumberFormat="1" applyFont="1" applyFill="1" applyBorder="1" applyAlignment="1" applyProtection="1">
      <alignment vertical="center"/>
      <protection locked="0"/>
    </xf>
    <xf numFmtId="172" fontId="4" fillId="33" borderId="11" xfId="0" applyNumberFormat="1" applyFont="1" applyFill="1" applyBorder="1" applyAlignment="1" applyProtection="1">
      <alignment vertical="center"/>
      <protection/>
    </xf>
    <xf numFmtId="2" fontId="4" fillId="33" borderId="11" xfId="0" applyNumberFormat="1" applyFont="1" applyFill="1" applyBorder="1" applyAlignment="1" applyProtection="1">
      <alignment vertical="center"/>
      <protection/>
    </xf>
    <xf numFmtId="37" fontId="4" fillId="37" borderId="11" xfId="0" applyNumberFormat="1" applyFont="1" applyFill="1" applyBorder="1" applyAlignment="1" applyProtection="1">
      <alignment vertical="center"/>
      <protection/>
    </xf>
    <xf numFmtId="173" fontId="4" fillId="33" borderId="11" xfId="0" applyNumberFormat="1" applyFont="1" applyFill="1" applyBorder="1" applyAlignment="1" applyProtection="1">
      <alignment vertical="center"/>
      <protection/>
    </xf>
    <xf numFmtId="0" fontId="4" fillId="33" borderId="11" xfId="575" applyFont="1" applyFill="1" applyBorder="1" applyAlignment="1" applyProtection="1">
      <alignment horizontal="left" vertical="center"/>
      <protection/>
    </xf>
    <xf numFmtId="0" fontId="4" fillId="33" borderId="20" xfId="575" applyFont="1" applyFill="1" applyBorder="1" applyAlignment="1" applyProtection="1">
      <alignment vertical="center"/>
      <protection/>
    </xf>
    <xf numFmtId="37" fontId="5" fillId="37" borderId="11" xfId="575" applyNumberFormat="1" applyFont="1" applyFill="1" applyBorder="1" applyAlignment="1" applyProtection="1">
      <alignment vertical="center"/>
      <protection/>
    </xf>
    <xf numFmtId="0" fontId="4" fillId="33" borderId="0" xfId="576" applyFont="1" applyFill="1" applyAlignment="1" applyProtection="1">
      <alignment horizontal="centerContinuous" vertical="center"/>
      <protection/>
    </xf>
    <xf numFmtId="0" fontId="4" fillId="33" borderId="0" xfId="576" applyFont="1" applyFill="1" applyAlignment="1" applyProtection="1">
      <alignment vertical="center"/>
      <protection/>
    </xf>
    <xf numFmtId="0" fontId="4" fillId="0" borderId="0" xfId="576" applyFont="1" applyAlignment="1">
      <alignment vertical="center"/>
      <protection/>
    </xf>
    <xf numFmtId="0" fontId="4" fillId="33" borderId="12" xfId="0" applyFont="1" applyFill="1" applyBorder="1" applyAlignment="1" applyProtection="1">
      <alignment vertical="center"/>
      <protection/>
    </xf>
    <xf numFmtId="0" fontId="4" fillId="33" borderId="21" xfId="576" applyFont="1" applyFill="1" applyBorder="1" applyAlignment="1" applyProtection="1">
      <alignment vertical="center"/>
      <protection/>
    </xf>
    <xf numFmtId="0" fontId="4" fillId="33" borderId="0" xfId="576" applyFont="1" applyFill="1" applyBorder="1" applyAlignment="1" applyProtection="1">
      <alignment vertical="center"/>
      <protection/>
    </xf>
    <xf numFmtId="0" fontId="4" fillId="33" borderId="25" xfId="0" applyFont="1" applyFill="1" applyBorder="1" applyAlignment="1" applyProtection="1">
      <alignment vertical="center"/>
      <protection/>
    </xf>
    <xf numFmtId="0" fontId="7" fillId="33" borderId="13" xfId="0" applyFont="1" applyFill="1" applyBorder="1" applyAlignment="1" applyProtection="1">
      <alignment horizontal="center" vertical="center"/>
      <protection/>
    </xf>
    <xf numFmtId="1" fontId="4" fillId="35" borderId="11" xfId="0" applyNumberFormat="1" applyFont="1" applyFill="1" applyBorder="1" applyAlignment="1" applyProtection="1">
      <alignment vertical="center"/>
      <protection locked="0"/>
    </xf>
    <xf numFmtId="0" fontId="0" fillId="33" borderId="0" xfId="0" applyFill="1" applyAlignment="1" applyProtection="1">
      <alignment vertical="center"/>
      <protection/>
    </xf>
    <xf numFmtId="0" fontId="4" fillId="38" borderId="0" xfId="575" applyFont="1" applyFill="1" applyAlignment="1" applyProtection="1">
      <alignment vertical="center"/>
      <protection/>
    </xf>
    <xf numFmtId="0" fontId="4" fillId="38" borderId="0" xfId="0" applyFont="1" applyFill="1" applyAlignment="1" applyProtection="1">
      <alignment vertical="center"/>
      <protection/>
    </xf>
    <xf numFmtId="165" fontId="4" fillId="33" borderId="0" xfId="0" applyNumberFormat="1" applyFont="1" applyFill="1" applyAlignment="1" applyProtection="1">
      <alignment vertical="center"/>
      <protection/>
    </xf>
    <xf numFmtId="165" fontId="4" fillId="33" borderId="0" xfId="0" applyNumberFormat="1" applyFont="1" applyFill="1" applyAlignment="1" applyProtection="1" quotePrefix="1">
      <alignment horizontal="right" vertical="center"/>
      <protection/>
    </xf>
    <xf numFmtId="37" fontId="4" fillId="33" borderId="12" xfId="0" applyNumberFormat="1" applyFont="1" applyFill="1" applyBorder="1" applyAlignment="1" applyProtection="1">
      <alignment horizontal="center" vertical="center"/>
      <protection/>
    </xf>
    <xf numFmtId="37" fontId="4" fillId="33" borderId="23" xfId="0" applyNumberFormat="1" applyFont="1" applyFill="1" applyBorder="1" applyAlignment="1" applyProtection="1">
      <alignment vertical="center"/>
      <protection/>
    </xf>
    <xf numFmtId="1" fontId="4" fillId="33" borderId="11" xfId="0" applyNumberFormat="1" applyFont="1" applyFill="1" applyBorder="1" applyAlignment="1" applyProtection="1">
      <alignment vertical="center"/>
      <protection/>
    </xf>
    <xf numFmtId="37" fontId="4" fillId="35" borderId="23" xfId="0" applyNumberFormat="1" applyFont="1" applyFill="1" applyBorder="1" applyAlignment="1" applyProtection="1">
      <alignment vertical="center"/>
      <protection locked="0"/>
    </xf>
    <xf numFmtId="0" fontId="4" fillId="35" borderId="23" xfId="0" applyFont="1" applyFill="1" applyBorder="1" applyAlignment="1" applyProtection="1">
      <alignment horizontal="left" vertical="center"/>
      <protection locked="0"/>
    </xf>
    <xf numFmtId="37" fontId="4" fillId="33" borderId="23" xfId="0" applyNumberFormat="1" applyFont="1" applyFill="1" applyBorder="1" applyAlignment="1" applyProtection="1">
      <alignment horizontal="left" vertical="center"/>
      <protection locked="0"/>
    </xf>
    <xf numFmtId="37" fontId="4" fillId="35" borderId="15" xfId="0" applyNumberFormat="1" applyFont="1" applyFill="1" applyBorder="1" applyAlignment="1" applyProtection="1">
      <alignment vertical="center"/>
      <protection locked="0"/>
    </xf>
    <xf numFmtId="3" fontId="18" fillId="39" borderId="15" xfId="0" applyNumberFormat="1" applyFont="1" applyFill="1" applyBorder="1" applyAlignment="1" applyProtection="1">
      <alignment horizontal="center" vertical="center"/>
      <protection/>
    </xf>
    <xf numFmtId="37" fontId="5" fillId="33" borderId="23" xfId="0" applyNumberFormat="1" applyFont="1" applyFill="1" applyBorder="1" applyAlignment="1" applyProtection="1">
      <alignment horizontal="left" vertical="center"/>
      <protection/>
    </xf>
    <xf numFmtId="3" fontId="5" fillId="37" borderId="11" xfId="0" applyNumberFormat="1" applyFont="1" applyFill="1" applyBorder="1" applyAlignment="1" applyProtection="1">
      <alignment vertical="center"/>
      <protection/>
    </xf>
    <xf numFmtId="37" fontId="4" fillId="33" borderId="0" xfId="0" applyNumberFormat="1" applyFont="1" applyFill="1" applyBorder="1" applyAlignment="1" applyProtection="1">
      <alignment vertical="center"/>
      <protection/>
    </xf>
    <xf numFmtId="3" fontId="4" fillId="33" borderId="11" xfId="0" applyNumberFormat="1" applyFont="1" applyFill="1" applyBorder="1" applyAlignment="1" applyProtection="1">
      <alignment horizontal="right" vertical="center"/>
      <protection/>
    </xf>
    <xf numFmtId="0" fontId="18" fillId="0" borderId="0" xfId="0" applyFont="1" applyAlignment="1" applyProtection="1">
      <alignment vertical="center"/>
      <protection/>
    </xf>
    <xf numFmtId="0" fontId="4" fillId="35" borderId="0" xfId="0" applyFont="1" applyFill="1" applyAlignment="1" applyProtection="1">
      <alignment horizontal="left" vertical="center"/>
      <protection locked="0"/>
    </xf>
    <xf numFmtId="0" fontId="4" fillId="33" borderId="0" xfId="0" applyFont="1" applyFill="1" applyAlignment="1" applyProtection="1">
      <alignment horizontal="left" vertical="center"/>
      <protection locked="0"/>
    </xf>
    <xf numFmtId="3" fontId="5" fillId="33" borderId="11" xfId="0" applyNumberFormat="1" applyFont="1" applyFill="1" applyBorder="1" applyAlignment="1" applyProtection="1">
      <alignment vertical="center"/>
      <protection/>
    </xf>
    <xf numFmtId="1" fontId="4" fillId="33" borderId="12" xfId="0" applyNumberFormat="1" applyFont="1" applyFill="1" applyBorder="1" applyAlignment="1" applyProtection="1">
      <alignment horizontal="center" vertical="center"/>
      <protection/>
    </xf>
    <xf numFmtId="0" fontId="4" fillId="33" borderId="0" xfId="0" applyFont="1" applyFill="1" applyAlignment="1">
      <alignment horizontal="center" vertical="center"/>
    </xf>
    <xf numFmtId="0" fontId="5" fillId="33" borderId="0" xfId="0" applyFont="1" applyFill="1" applyAlignment="1">
      <alignment horizontal="center" vertical="center"/>
    </xf>
    <xf numFmtId="0" fontId="22" fillId="33" borderId="0" xfId="0" applyFont="1" applyFill="1" applyAlignment="1">
      <alignment horizontal="center" vertical="center"/>
    </xf>
    <xf numFmtId="0" fontId="4" fillId="33" borderId="15" xfId="0" applyFont="1" applyFill="1" applyBorder="1" applyAlignment="1">
      <alignment vertical="center"/>
    </xf>
    <xf numFmtId="0" fontId="4" fillId="33" borderId="14" xfId="0" applyFont="1" applyFill="1" applyBorder="1" applyAlignment="1">
      <alignment vertical="center"/>
    </xf>
    <xf numFmtId="0" fontId="21" fillId="33" borderId="12" xfId="0" applyFont="1" applyFill="1" applyBorder="1" applyAlignment="1">
      <alignment vertical="center"/>
    </xf>
    <xf numFmtId="0" fontId="21" fillId="33" borderId="15" xfId="0" applyFont="1" applyFill="1" applyBorder="1" applyAlignment="1">
      <alignment horizontal="center" vertical="center"/>
    </xf>
    <xf numFmtId="0" fontId="21" fillId="33" borderId="26" xfId="0" applyFont="1" applyFill="1" applyBorder="1" applyAlignment="1">
      <alignment vertical="center"/>
    </xf>
    <xf numFmtId="0" fontId="21" fillId="33" borderId="11" xfId="0" applyFont="1" applyFill="1" applyBorder="1" applyAlignment="1">
      <alignment horizontal="center" vertical="center"/>
    </xf>
    <xf numFmtId="0" fontId="21" fillId="33" borderId="22" xfId="0" applyFont="1" applyFill="1" applyBorder="1" applyAlignment="1">
      <alignment vertical="center"/>
    </xf>
    <xf numFmtId="3" fontId="21" fillId="35" borderId="11" xfId="0" applyNumberFormat="1" applyFont="1" applyFill="1" applyBorder="1" applyAlignment="1" applyProtection="1">
      <alignment horizontal="center" vertical="center"/>
      <protection locked="0"/>
    </xf>
    <xf numFmtId="0" fontId="21" fillId="33" borderId="14" xfId="0" applyFont="1" applyFill="1" applyBorder="1" applyAlignment="1">
      <alignment vertical="center"/>
    </xf>
    <xf numFmtId="3" fontId="21" fillId="37" borderId="11" xfId="0" applyNumberFormat="1" applyFont="1" applyFill="1" applyBorder="1" applyAlignment="1">
      <alignment horizontal="center" vertical="center"/>
    </xf>
    <xf numFmtId="0" fontId="21" fillId="33" borderId="0" xfId="0" applyFont="1" applyFill="1" applyAlignment="1">
      <alignment vertical="center"/>
    </xf>
    <xf numFmtId="3" fontId="21" fillId="33" borderId="0" xfId="0" applyNumberFormat="1" applyFont="1" applyFill="1" applyAlignment="1">
      <alignment horizontal="center" vertical="center"/>
    </xf>
    <xf numFmtId="0" fontId="21" fillId="33" borderId="0" xfId="0" applyFont="1" applyFill="1" applyAlignment="1">
      <alignment horizontal="center" vertical="center"/>
    </xf>
    <xf numFmtId="0" fontId="21" fillId="35" borderId="11" xfId="0" applyFont="1" applyFill="1" applyBorder="1" applyAlignment="1" applyProtection="1">
      <alignment vertical="center"/>
      <protection locked="0"/>
    </xf>
    <xf numFmtId="0" fontId="21" fillId="35" borderId="26" xfId="0" applyFont="1" applyFill="1" applyBorder="1" applyAlignment="1" applyProtection="1">
      <alignment vertical="center"/>
      <protection locked="0"/>
    </xf>
    <xf numFmtId="3" fontId="21" fillId="35" borderId="26" xfId="0" applyNumberFormat="1" applyFont="1" applyFill="1" applyBorder="1" applyAlignment="1" applyProtection="1">
      <alignment horizontal="center" vertical="center"/>
      <protection locked="0"/>
    </xf>
    <xf numFmtId="0" fontId="21" fillId="35" borderId="0" xfId="0" applyFont="1" applyFill="1" applyAlignment="1" applyProtection="1">
      <alignment vertical="center"/>
      <protection locked="0"/>
    </xf>
    <xf numFmtId="3" fontId="21" fillId="35" borderId="17" xfId="0" applyNumberFormat="1" applyFont="1" applyFill="1" applyBorder="1" applyAlignment="1" applyProtection="1">
      <alignment horizontal="center" vertical="center"/>
      <protection locked="0"/>
    </xf>
    <xf numFmtId="3" fontId="21" fillId="35" borderId="15" xfId="0" applyNumberFormat="1" applyFont="1" applyFill="1" applyBorder="1" applyAlignment="1" applyProtection="1">
      <alignment horizontal="center" vertical="center"/>
      <protection locked="0"/>
    </xf>
    <xf numFmtId="0" fontId="21" fillId="35" borderId="15" xfId="0" applyFont="1" applyFill="1" applyBorder="1" applyAlignment="1" applyProtection="1">
      <alignment vertical="center"/>
      <protection locked="0"/>
    </xf>
    <xf numFmtId="0" fontId="21" fillId="35" borderId="13" xfId="0" applyFont="1" applyFill="1" applyBorder="1" applyAlignment="1" applyProtection="1">
      <alignment vertical="center"/>
      <protection locked="0"/>
    </xf>
    <xf numFmtId="3" fontId="21" fillId="35" borderId="24" xfId="0" applyNumberFormat="1" applyFont="1" applyFill="1" applyBorder="1" applyAlignment="1" applyProtection="1">
      <alignment horizontal="center" vertical="center"/>
      <protection locked="0"/>
    </xf>
    <xf numFmtId="0" fontId="21" fillId="35" borderId="24" xfId="0" applyFont="1" applyFill="1" applyBorder="1" applyAlignment="1" applyProtection="1">
      <alignment vertical="center"/>
      <protection locked="0"/>
    </xf>
    <xf numFmtId="3" fontId="21" fillId="37" borderId="13" xfId="0" applyNumberFormat="1" applyFont="1" applyFill="1" applyBorder="1" applyAlignment="1">
      <alignment horizontal="center" vertical="center"/>
    </xf>
    <xf numFmtId="3" fontId="21" fillId="39" borderId="11" xfId="0" applyNumberFormat="1" applyFont="1" applyFill="1" applyBorder="1" applyAlignment="1">
      <alignment horizontal="center" vertical="center"/>
    </xf>
    <xf numFmtId="3" fontId="4" fillId="33" borderId="0" xfId="0" applyNumberFormat="1" applyFont="1" applyFill="1" applyAlignment="1">
      <alignment vertical="center"/>
    </xf>
    <xf numFmtId="0" fontId="4" fillId="38" borderId="0" xfId="0" applyFont="1" applyFill="1" applyAlignment="1">
      <alignment vertical="center"/>
    </xf>
    <xf numFmtId="0" fontId="4" fillId="33" borderId="0" xfId="0" applyFont="1" applyFill="1" applyAlignment="1">
      <alignment horizontal="right" vertical="center"/>
    </xf>
    <xf numFmtId="3" fontId="4" fillId="0" borderId="0" xfId="0" applyNumberFormat="1" applyFont="1" applyAlignment="1">
      <alignment vertical="center"/>
    </xf>
    <xf numFmtId="0" fontId="4" fillId="33" borderId="23" xfId="0" applyFont="1" applyFill="1" applyBorder="1" applyAlignment="1" applyProtection="1">
      <alignment horizontal="centerContinuous" vertical="center"/>
      <protection/>
    </xf>
    <xf numFmtId="0" fontId="4" fillId="33" borderId="15" xfId="0" applyFont="1" applyFill="1" applyBorder="1" applyAlignment="1" applyProtection="1">
      <alignment horizontal="centerContinuous" vertical="center"/>
      <protection/>
    </xf>
    <xf numFmtId="0" fontId="4" fillId="33" borderId="11" xfId="0" applyFont="1" applyFill="1" applyBorder="1" applyAlignment="1" applyProtection="1">
      <alignment horizontal="centerContinuous" vertical="center"/>
      <protection/>
    </xf>
    <xf numFmtId="0" fontId="4" fillId="33" borderId="10" xfId="0" applyFont="1" applyFill="1" applyBorder="1" applyAlignment="1" applyProtection="1">
      <alignment horizontal="centerContinuous" vertical="center"/>
      <protection/>
    </xf>
    <xf numFmtId="164" fontId="4" fillId="33" borderId="0" xfId="0" applyNumberFormat="1" applyFont="1" applyFill="1" applyBorder="1" applyAlignment="1" applyProtection="1">
      <alignment vertical="center"/>
      <protection/>
    </xf>
    <xf numFmtId="164" fontId="4" fillId="33" borderId="25" xfId="0" applyNumberFormat="1" applyFont="1" applyFill="1" applyBorder="1" applyAlignment="1" applyProtection="1">
      <alignment vertical="center"/>
      <protection/>
    </xf>
    <xf numFmtId="37" fontId="4" fillId="33" borderId="11" xfId="0" applyNumberFormat="1" applyFont="1" applyFill="1" applyBorder="1" applyAlignment="1" applyProtection="1">
      <alignment horizontal="center" vertical="center"/>
      <protection/>
    </xf>
    <xf numFmtId="37" fontId="4" fillId="37" borderId="18" xfId="0" applyNumberFormat="1" applyFont="1" applyFill="1" applyBorder="1" applyAlignment="1" applyProtection="1">
      <alignment horizontal="center" vertical="center"/>
      <protection/>
    </xf>
    <xf numFmtId="165" fontId="4" fillId="33" borderId="0" xfId="0" applyNumberFormat="1" applyFont="1" applyFill="1" applyAlignment="1" applyProtection="1">
      <alignment vertical="center"/>
      <protection locked="0"/>
    </xf>
    <xf numFmtId="37" fontId="4" fillId="33" borderId="0" xfId="0" applyNumberFormat="1" applyFont="1" applyFill="1" applyAlignment="1" applyProtection="1">
      <alignment vertical="center"/>
      <protection locked="0"/>
    </xf>
    <xf numFmtId="0" fontId="4" fillId="33" borderId="26"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37" fontId="4" fillId="33" borderId="11" xfId="0" applyNumberFormat="1" applyFont="1" applyFill="1" applyBorder="1" applyAlignment="1" applyProtection="1">
      <alignment horizontal="left" vertical="center"/>
      <protection/>
    </xf>
    <xf numFmtId="3" fontId="4" fillId="35" borderId="11" xfId="0" applyNumberFormat="1" applyFont="1" applyFill="1" applyBorder="1" applyAlignment="1" applyProtection="1">
      <alignment horizontal="center" vertical="center"/>
      <protection locked="0"/>
    </xf>
    <xf numFmtId="183" fontId="4" fillId="33" borderId="11" xfId="0" applyNumberFormat="1" applyFont="1" applyFill="1" applyBorder="1" applyAlignment="1" applyProtection="1">
      <alignment horizontal="center" vertical="center"/>
      <protection/>
    </xf>
    <xf numFmtId="3" fontId="4" fillId="33" borderId="18" xfId="0" applyNumberFormat="1" applyFont="1" applyFill="1" applyBorder="1" applyAlignment="1" applyProtection="1">
      <alignment horizontal="center" vertical="center"/>
      <protection/>
    </xf>
    <xf numFmtId="183" fontId="4" fillId="33" borderId="18" xfId="0" applyNumberFormat="1" applyFont="1" applyFill="1" applyBorder="1" applyAlignment="1" applyProtection="1">
      <alignment horizontal="center" vertical="center"/>
      <protection/>
    </xf>
    <xf numFmtId="3" fontId="4" fillId="33" borderId="14" xfId="0" applyNumberFormat="1" applyFont="1" applyFill="1" applyBorder="1" applyAlignment="1" applyProtection="1">
      <alignment horizontal="center" vertical="center"/>
      <protection/>
    </xf>
    <xf numFmtId="183" fontId="4" fillId="33" borderId="14" xfId="0" applyNumberFormat="1" applyFont="1" applyFill="1" applyBorder="1" applyAlignment="1" applyProtection="1">
      <alignment horizontal="center" vertical="center"/>
      <protection/>
    </xf>
    <xf numFmtId="183" fontId="4" fillId="33" borderId="0" xfId="0" applyNumberFormat="1" applyFont="1" applyFill="1" applyBorder="1" applyAlignment="1" applyProtection="1">
      <alignment horizontal="center" vertical="center"/>
      <protection/>
    </xf>
    <xf numFmtId="3" fontId="4" fillId="33" borderId="14" xfId="0" applyNumberFormat="1" applyFont="1" applyFill="1" applyBorder="1" applyAlignment="1">
      <alignment horizontal="center" vertical="center"/>
    </xf>
    <xf numFmtId="0" fontId="0" fillId="33" borderId="0" xfId="0" applyFill="1" applyAlignment="1">
      <alignment horizontal="center" vertical="center"/>
    </xf>
    <xf numFmtId="0" fontId="4" fillId="33" borderId="14" xfId="0" applyFont="1" applyFill="1" applyBorder="1" applyAlignment="1">
      <alignment horizontal="center" vertical="center"/>
    </xf>
    <xf numFmtId="3" fontId="4" fillId="40" borderId="14" xfId="0" applyNumberFormat="1" applyFont="1" applyFill="1" applyBorder="1" applyAlignment="1" applyProtection="1">
      <alignment vertical="center"/>
      <protection/>
    </xf>
    <xf numFmtId="3" fontId="4" fillId="40" borderId="10" xfId="0" applyNumberFormat="1" applyFont="1" applyFill="1" applyBorder="1" applyAlignment="1" applyProtection="1">
      <alignment vertical="center"/>
      <protection/>
    </xf>
    <xf numFmtId="3" fontId="4" fillId="41" borderId="14" xfId="42" applyNumberFormat="1" applyFont="1" applyFill="1" applyBorder="1" applyAlignment="1" applyProtection="1">
      <alignment vertical="center"/>
      <protection/>
    </xf>
    <xf numFmtId="0" fontId="6" fillId="0" borderId="0" xfId="0" applyFont="1" applyAlignment="1">
      <alignment/>
    </xf>
    <xf numFmtId="3" fontId="26" fillId="39" borderId="0" xfId="0" applyNumberFormat="1" applyFont="1" applyFill="1" applyAlignment="1">
      <alignment horizontal="center" vertical="center"/>
    </xf>
    <xf numFmtId="0" fontId="4" fillId="0" borderId="0" xfId="562" applyFont="1" applyAlignment="1">
      <alignment vertical="center"/>
      <protection/>
    </xf>
    <xf numFmtId="0" fontId="4" fillId="0" borderId="0" xfId="86" applyFont="1" applyAlignment="1">
      <alignment vertical="center"/>
      <protection/>
    </xf>
    <xf numFmtId="0" fontId="4" fillId="0" borderId="0" xfId="100" applyFont="1" applyAlignment="1">
      <alignment vertical="center"/>
      <protection/>
    </xf>
    <xf numFmtId="0" fontId="10" fillId="0" borderId="0" xfId="537" applyFont="1">
      <alignment/>
      <protection/>
    </xf>
    <xf numFmtId="0" fontId="10" fillId="0" borderId="0" xfId="537" applyNumberFormat="1" applyFont="1" applyAlignment="1">
      <alignment horizontal="left" vertical="center"/>
      <protection/>
    </xf>
    <xf numFmtId="0" fontId="4" fillId="0" borderId="0" xfId="537" applyFont="1" applyAlignment="1">
      <alignment horizontal="left" vertical="center"/>
      <protection/>
    </xf>
    <xf numFmtId="184" fontId="21" fillId="0" borderId="0" xfId="537" applyNumberFormat="1" applyFont="1" applyAlignment="1">
      <alignment horizontal="left" vertical="center"/>
      <protection/>
    </xf>
    <xf numFmtId="49" fontId="4" fillId="0" borderId="0" xfId="537" applyNumberFormat="1" applyFont="1" applyAlignment="1">
      <alignment horizontal="left" vertical="center"/>
      <protection/>
    </xf>
    <xf numFmtId="0" fontId="21" fillId="0" borderId="0" xfId="537" applyFont="1" applyAlignment="1">
      <alignment horizontal="left" vertical="center"/>
      <protection/>
    </xf>
    <xf numFmtId="185" fontId="21" fillId="0" borderId="0" xfId="537" applyNumberFormat="1" applyFont="1" applyAlignment="1">
      <alignment horizontal="left" vertical="center"/>
      <protection/>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5"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66" applyFont="1">
      <alignment/>
      <protection/>
    </xf>
    <xf numFmtId="0" fontId="0" fillId="0" borderId="0" xfId="266"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6" fillId="0" borderId="0" xfId="152" applyFont="1" applyAlignment="1">
      <alignment vertical="center"/>
      <protection/>
    </xf>
    <xf numFmtId="0" fontId="4" fillId="0" borderId="0" xfId="157" applyFont="1" applyAlignment="1">
      <alignment vertical="center"/>
      <protection/>
    </xf>
    <xf numFmtId="0" fontId="4" fillId="43" borderId="0" xfId="0" applyFont="1" applyFill="1" applyAlignment="1">
      <alignment vertical="center" wrapText="1"/>
    </xf>
    <xf numFmtId="0" fontId="4" fillId="44" borderId="0" xfId="0" applyFont="1" applyFill="1" applyAlignment="1" applyProtection="1">
      <alignment vertical="center"/>
      <protection/>
    </xf>
    <xf numFmtId="0" fontId="4" fillId="0" borderId="0" xfId="92" applyFont="1" applyAlignment="1">
      <alignment vertical="center" wrapText="1"/>
      <protection/>
    </xf>
    <xf numFmtId="0" fontId="4" fillId="33" borderId="0" xfId="0" applyFont="1" applyFill="1" applyAlignment="1">
      <alignment/>
    </xf>
    <xf numFmtId="0" fontId="6" fillId="0" borderId="0" xfId="151" applyFont="1" applyAlignment="1">
      <alignment vertical="center"/>
      <protection/>
    </xf>
    <xf numFmtId="0" fontId="86" fillId="33" borderId="0" xfId="0" applyFont="1" applyFill="1" applyAlignment="1" applyProtection="1">
      <alignment horizontal="right" vertical="center"/>
      <protection locked="0"/>
    </xf>
    <xf numFmtId="0" fontId="7" fillId="33" borderId="0" xfId="0" applyFont="1" applyFill="1" applyAlignment="1" applyProtection="1">
      <alignment horizontal="left" vertical="center"/>
      <protection locked="0"/>
    </xf>
    <xf numFmtId="3" fontId="4" fillId="37" borderId="23" xfId="0" applyNumberFormat="1" applyFont="1" applyFill="1" applyBorder="1" applyAlignment="1" applyProtection="1">
      <alignment vertical="center"/>
      <protection/>
    </xf>
    <xf numFmtId="1" fontId="4" fillId="33" borderId="19" xfId="0" applyNumberFormat="1" applyFont="1" applyFill="1" applyBorder="1" applyAlignment="1" applyProtection="1">
      <alignment horizontal="center" vertical="center"/>
      <protection/>
    </xf>
    <xf numFmtId="1" fontId="4" fillId="33" borderId="22" xfId="0" applyNumberFormat="1" applyFont="1" applyFill="1" applyBorder="1" applyAlignment="1" applyProtection="1">
      <alignment horizontal="center" vertical="center"/>
      <protection/>
    </xf>
    <xf numFmtId="3" fontId="18" fillId="39" borderId="23" xfId="0" applyNumberFormat="1" applyFont="1" applyFill="1" applyBorder="1" applyAlignment="1" applyProtection="1">
      <alignment horizontal="center" vertical="center"/>
      <protection/>
    </xf>
    <xf numFmtId="3" fontId="5" fillId="37" borderId="23" xfId="0" applyNumberFormat="1" applyFont="1" applyFill="1" applyBorder="1" applyAlignment="1" applyProtection="1">
      <alignment vertical="center"/>
      <protection/>
    </xf>
    <xf numFmtId="37" fontId="4" fillId="33" borderId="19" xfId="0" applyNumberFormat="1" applyFont="1" applyFill="1" applyBorder="1" applyAlignment="1" applyProtection="1">
      <alignment horizontal="center" vertical="center"/>
      <protection/>
    </xf>
    <xf numFmtId="3" fontId="4" fillId="33" borderId="23" xfId="0" applyNumberFormat="1" applyFont="1" applyFill="1" applyBorder="1" applyAlignment="1" applyProtection="1">
      <alignment vertical="center"/>
      <protection/>
    </xf>
    <xf numFmtId="3" fontId="5" fillId="33" borderId="23" xfId="0" applyNumberFormat="1" applyFont="1" applyFill="1" applyBorder="1" applyAlignment="1" applyProtection="1">
      <alignment vertical="center"/>
      <protection/>
    </xf>
    <xf numFmtId="14" fontId="4" fillId="35" borderId="11" xfId="0" applyNumberFormat="1" applyFont="1" applyFill="1" applyBorder="1" applyAlignment="1" applyProtection="1">
      <alignment horizontal="left" vertical="center"/>
      <protection locked="0"/>
    </xf>
    <xf numFmtId="14" fontId="4" fillId="35" borderId="11" xfId="0" applyNumberFormat="1" applyFont="1" applyFill="1" applyBorder="1" applyAlignment="1" applyProtection="1">
      <alignment vertical="center"/>
      <protection locked="0"/>
    </xf>
    <xf numFmtId="0" fontId="29" fillId="45" borderId="0" xfId="0" applyFont="1" applyFill="1" applyAlignment="1">
      <alignment/>
    </xf>
    <xf numFmtId="0" fontId="29" fillId="0" borderId="0" xfId="0" applyFont="1" applyAlignment="1">
      <alignment/>
    </xf>
    <xf numFmtId="0" fontId="29" fillId="42" borderId="0" xfId="0" applyFont="1" applyFill="1" applyAlignment="1">
      <alignment/>
    </xf>
    <xf numFmtId="0" fontId="87" fillId="45" borderId="0" xfId="0" applyFont="1" applyFill="1" applyAlignment="1">
      <alignment horizontal="center" wrapText="1"/>
    </xf>
    <xf numFmtId="0" fontId="87" fillId="42" borderId="0" xfId="0" applyFont="1" applyFill="1" applyAlignment="1">
      <alignment/>
    </xf>
    <xf numFmtId="0" fontId="29" fillId="42" borderId="0" xfId="0" applyFont="1" applyFill="1" applyAlignment="1">
      <alignment horizontal="center"/>
    </xf>
    <xf numFmtId="0" fontId="87" fillId="42" borderId="27" xfId="0" applyFont="1" applyFill="1" applyBorder="1" applyAlignment="1">
      <alignment/>
    </xf>
    <xf numFmtId="0" fontId="29" fillId="42" borderId="28" xfId="0" applyFont="1" applyFill="1" applyBorder="1" applyAlignment="1">
      <alignment/>
    </xf>
    <xf numFmtId="0" fontId="29" fillId="42" borderId="29" xfId="0" applyFont="1" applyFill="1" applyBorder="1" applyAlignment="1">
      <alignment/>
    </xf>
    <xf numFmtId="187" fontId="29" fillId="42" borderId="30" xfId="0" applyNumberFormat="1" applyFont="1" applyFill="1" applyBorder="1" applyAlignment="1">
      <alignment/>
    </xf>
    <xf numFmtId="0" fontId="29" fillId="42" borderId="0" xfId="0" applyFont="1" applyFill="1" applyBorder="1" applyAlignment="1">
      <alignment/>
    </xf>
    <xf numFmtId="0" fontId="29" fillId="42" borderId="31" xfId="0" applyFont="1" applyFill="1" applyBorder="1" applyAlignment="1">
      <alignment/>
    </xf>
    <xf numFmtId="0" fontId="29" fillId="42" borderId="32" xfId="0" applyFont="1" applyFill="1" applyBorder="1" applyAlignment="1">
      <alignment/>
    </xf>
    <xf numFmtId="0" fontId="29" fillId="42" borderId="33" xfId="0" applyFont="1" applyFill="1" applyBorder="1" applyAlignment="1">
      <alignment/>
    </xf>
    <xf numFmtId="0" fontId="29" fillId="42" borderId="34" xfId="0" applyFont="1" applyFill="1" applyBorder="1" applyAlignment="1">
      <alignment/>
    </xf>
    <xf numFmtId="0" fontId="29" fillId="42" borderId="27" xfId="0" applyFont="1" applyFill="1" applyBorder="1" applyAlignment="1">
      <alignment/>
    </xf>
    <xf numFmtId="0" fontId="29" fillId="42" borderId="35" xfId="0" applyFont="1" applyFill="1" applyBorder="1" applyAlignment="1">
      <alignment/>
    </xf>
    <xf numFmtId="187" fontId="29" fillId="44" borderId="30" xfId="0" applyNumberFormat="1" applyFont="1" applyFill="1" applyBorder="1" applyAlignment="1" applyProtection="1">
      <alignment horizontal="center"/>
      <protection locked="0"/>
    </xf>
    <xf numFmtId="183" fontId="29" fillId="42" borderId="0" xfId="0" applyNumberFormat="1" applyFont="1" applyFill="1" applyBorder="1" applyAlignment="1">
      <alignment horizontal="center"/>
    </xf>
    <xf numFmtId="187" fontId="29" fillId="0" borderId="0" xfId="0" applyNumberFormat="1" applyFont="1" applyAlignment="1">
      <alignment/>
    </xf>
    <xf numFmtId="0" fontId="88" fillId="0" borderId="0" xfId="0" applyFont="1" applyBorder="1" applyAlignment="1">
      <alignment/>
    </xf>
    <xf numFmtId="0" fontId="29" fillId="0" borderId="0" xfId="0" applyFont="1" applyBorder="1" applyAlignment="1">
      <alignment/>
    </xf>
    <xf numFmtId="0" fontId="87" fillId="0" borderId="0" xfId="0" applyFont="1" applyBorder="1" applyAlignment="1">
      <alignment horizontal="centerContinuous"/>
    </xf>
    <xf numFmtId="0" fontId="29" fillId="0" borderId="0" xfId="0" applyFont="1" applyBorder="1" applyAlignment="1">
      <alignment horizontal="centerContinuous"/>
    </xf>
    <xf numFmtId="0" fontId="29" fillId="45" borderId="0" xfId="0" applyFont="1" applyFill="1" applyBorder="1" applyAlignment="1">
      <alignment/>
    </xf>
    <xf numFmtId="0" fontId="29" fillId="42" borderId="36" xfId="0" applyFont="1" applyFill="1" applyBorder="1" applyAlignment="1">
      <alignment/>
    </xf>
    <xf numFmtId="0" fontId="29" fillId="42" borderId="20" xfId="0" applyFont="1" applyFill="1" applyBorder="1" applyAlignment="1">
      <alignment/>
    </xf>
    <xf numFmtId="0" fontId="29" fillId="42" borderId="37" xfId="0" applyFont="1" applyFill="1" applyBorder="1" applyAlignment="1">
      <alignment/>
    </xf>
    <xf numFmtId="5" fontId="29" fillId="42" borderId="33" xfId="0" applyNumberFormat="1" applyFont="1" applyFill="1" applyBorder="1" applyAlignment="1">
      <alignment horizontal="center"/>
    </xf>
    <xf numFmtId="0" fontId="29" fillId="42" borderId="33" xfId="0" applyFont="1" applyFill="1" applyBorder="1" applyAlignment="1">
      <alignment horizontal="center"/>
    </xf>
    <xf numFmtId="183" fontId="29" fillId="42" borderId="33" xfId="0" applyNumberFormat="1" applyFont="1" applyFill="1" applyBorder="1" applyAlignment="1">
      <alignment horizontal="center"/>
    </xf>
    <xf numFmtId="188" fontId="29" fillId="42" borderId="33" xfId="0" applyNumberFormat="1" applyFont="1" applyFill="1" applyBorder="1" applyAlignment="1">
      <alignment horizontal="center"/>
    </xf>
    <xf numFmtId="0" fontId="29" fillId="42" borderId="0" xfId="0" applyFont="1" applyFill="1" applyAlignment="1">
      <alignment horizontal="center" wrapText="1"/>
    </xf>
    <xf numFmtId="0" fontId="87" fillId="42" borderId="27" xfId="0" applyFont="1" applyFill="1" applyBorder="1" applyAlignment="1">
      <alignment/>
    </xf>
    <xf numFmtId="0" fontId="29" fillId="42" borderId="28" xfId="0" applyFont="1" applyFill="1" applyBorder="1" applyAlignment="1">
      <alignment/>
    </xf>
    <xf numFmtId="0" fontId="29" fillId="42" borderId="29" xfId="0" applyFont="1" applyFill="1" applyBorder="1" applyAlignment="1">
      <alignment/>
    </xf>
    <xf numFmtId="0" fontId="29" fillId="42" borderId="35" xfId="0" applyFont="1" applyFill="1" applyBorder="1" applyAlignment="1">
      <alignment/>
    </xf>
    <xf numFmtId="0" fontId="29" fillId="42" borderId="31" xfId="0" applyFont="1" applyFill="1" applyBorder="1" applyAlignment="1">
      <alignment/>
    </xf>
    <xf numFmtId="0" fontId="29" fillId="42" borderId="36" xfId="0" applyFont="1" applyFill="1" applyBorder="1" applyAlignment="1">
      <alignment/>
    </xf>
    <xf numFmtId="0" fontId="29" fillId="42" borderId="20" xfId="0" applyFont="1" applyFill="1" applyBorder="1" applyAlignment="1">
      <alignment/>
    </xf>
    <xf numFmtId="0" fontId="29" fillId="42" borderId="37" xfId="0" applyFont="1" applyFill="1" applyBorder="1" applyAlignment="1">
      <alignment/>
    </xf>
    <xf numFmtId="182" fontId="29" fillId="42" borderId="0" xfId="0" applyNumberFormat="1" applyFont="1" applyFill="1" applyBorder="1" applyAlignment="1">
      <alignment horizontal="center"/>
    </xf>
    <xf numFmtId="0" fontId="29" fillId="42" borderId="32" xfId="0" applyFont="1" applyFill="1" applyBorder="1" applyAlignment="1">
      <alignment/>
    </xf>
    <xf numFmtId="5" fontId="29" fillId="42" borderId="0" xfId="0" applyNumberFormat="1" applyFont="1" applyFill="1" applyBorder="1" applyAlignment="1">
      <alignment horizontal="center"/>
    </xf>
    <xf numFmtId="0" fontId="29" fillId="45" borderId="0" xfId="0" applyFont="1" applyFill="1" applyAlignment="1">
      <alignment/>
    </xf>
    <xf numFmtId="183" fontId="29" fillId="44" borderId="14" xfId="0" applyNumberFormat="1" applyFont="1" applyFill="1" applyBorder="1" applyAlignment="1" applyProtection="1">
      <alignment horizontal="center"/>
      <protection locked="0"/>
    </xf>
    <xf numFmtId="188" fontId="29" fillId="42" borderId="0" xfId="0" applyNumberFormat="1" applyFont="1" applyFill="1" applyBorder="1" applyAlignment="1">
      <alignment/>
    </xf>
    <xf numFmtId="187" fontId="29" fillId="42" borderId="33" xfId="0" applyNumberFormat="1" applyFont="1" applyFill="1" applyBorder="1" applyAlignment="1">
      <alignment horizontal="center"/>
    </xf>
    <xf numFmtId="183" fontId="29" fillId="42" borderId="33" xfId="0" applyNumberFormat="1" applyFont="1" applyFill="1" applyBorder="1" applyAlignment="1" applyProtection="1">
      <alignment horizontal="center"/>
      <protection locked="0"/>
    </xf>
    <xf numFmtId="188" fontId="29" fillId="42" borderId="33" xfId="0" applyNumberFormat="1" applyFont="1" applyFill="1" applyBorder="1" applyAlignment="1">
      <alignment/>
    </xf>
    <xf numFmtId="0" fontId="87" fillId="42" borderId="35" xfId="0" applyFont="1" applyFill="1" applyBorder="1" applyAlignment="1">
      <alignment horizontal="centerContinuous" vertical="center"/>
    </xf>
    <xf numFmtId="187" fontId="87" fillId="42" borderId="0" xfId="0" applyNumberFormat="1" applyFont="1" applyFill="1" applyBorder="1" applyAlignment="1">
      <alignment horizontal="centerContinuous" vertical="center"/>
    </xf>
    <xf numFmtId="0" fontId="87" fillId="42" borderId="0" xfId="0" applyFont="1" applyFill="1" applyBorder="1" applyAlignment="1">
      <alignment horizontal="centerContinuous" vertical="center"/>
    </xf>
    <xf numFmtId="183" fontId="87" fillId="42" borderId="0" xfId="0" applyNumberFormat="1" applyFont="1" applyFill="1" applyBorder="1" applyAlignment="1" applyProtection="1">
      <alignment horizontal="centerContinuous" vertical="center"/>
      <protection locked="0"/>
    </xf>
    <xf numFmtId="188" fontId="87" fillId="42" borderId="0" xfId="0" applyNumberFormat="1" applyFont="1" applyFill="1" applyBorder="1" applyAlignment="1">
      <alignment horizontal="centerContinuous" vertical="center"/>
    </xf>
    <xf numFmtId="0" fontId="87" fillId="42" borderId="31" xfId="0" applyFont="1" applyFill="1" applyBorder="1" applyAlignment="1">
      <alignment horizontal="centerContinuous" vertical="center"/>
    </xf>
    <xf numFmtId="0" fontId="87" fillId="42" borderId="35" xfId="0" applyFont="1" applyFill="1" applyBorder="1" applyAlignment="1">
      <alignment horizontal="centerContinuous"/>
    </xf>
    <xf numFmtId="187" fontId="87" fillId="42" borderId="0" xfId="0" applyNumberFormat="1" applyFont="1" applyFill="1" applyBorder="1" applyAlignment="1">
      <alignment horizontal="centerContinuous"/>
    </xf>
    <xf numFmtId="0" fontId="87" fillId="42" borderId="0" xfId="0" applyFont="1" applyFill="1" applyBorder="1" applyAlignment="1">
      <alignment horizontal="centerContinuous"/>
    </xf>
    <xf numFmtId="183" fontId="87" fillId="42" borderId="0" xfId="0" applyNumberFormat="1" applyFont="1" applyFill="1" applyBorder="1" applyAlignment="1" applyProtection="1">
      <alignment horizontal="centerContinuous"/>
      <protection locked="0"/>
    </xf>
    <xf numFmtId="188" fontId="87" fillId="42" borderId="0" xfId="0" applyNumberFormat="1" applyFont="1" applyFill="1" applyBorder="1" applyAlignment="1">
      <alignment horizontal="centerContinuous"/>
    </xf>
    <xf numFmtId="0" fontId="87" fillId="42" borderId="31" xfId="0" applyFont="1" applyFill="1" applyBorder="1" applyAlignment="1">
      <alignment horizontal="centerContinuous"/>
    </xf>
    <xf numFmtId="183" fontId="29" fillId="42" borderId="0" xfId="0" applyNumberFormat="1" applyFont="1" applyFill="1" applyBorder="1" applyAlignment="1" applyProtection="1">
      <alignment horizontal="center"/>
      <protection locked="0"/>
    </xf>
    <xf numFmtId="187" fontId="29" fillId="42" borderId="28" xfId="0" applyNumberFormat="1" applyFont="1" applyFill="1" applyBorder="1" applyAlignment="1">
      <alignment horizontal="center"/>
    </xf>
    <xf numFmtId="0" fontId="29" fillId="42" borderId="28" xfId="0" applyFont="1" applyFill="1" applyBorder="1" applyAlignment="1">
      <alignment horizontal="center"/>
    </xf>
    <xf numFmtId="183" fontId="29" fillId="42" borderId="28" xfId="0" applyNumberFormat="1" applyFont="1" applyFill="1" applyBorder="1" applyAlignment="1" applyProtection="1">
      <alignment horizontal="center"/>
      <protection locked="0"/>
    </xf>
    <xf numFmtId="188" fontId="29" fillId="42" borderId="28" xfId="0" applyNumberFormat="1" applyFont="1" applyFill="1" applyBorder="1" applyAlignment="1">
      <alignment/>
    </xf>
    <xf numFmtId="187" fontId="29" fillId="42" borderId="0" xfId="0" applyNumberFormat="1" applyFont="1" applyFill="1" applyBorder="1" applyAlignment="1" applyProtection="1">
      <alignment horizontal="center"/>
      <protection locked="0"/>
    </xf>
    <xf numFmtId="0" fontId="29" fillId="46" borderId="0" xfId="0" applyFont="1" applyFill="1" applyAlignment="1">
      <alignment/>
    </xf>
    <xf numFmtId="0" fontId="31" fillId="0" borderId="0" xfId="88" applyFont="1" applyAlignment="1">
      <alignment horizontal="center"/>
      <protection/>
    </xf>
    <xf numFmtId="0" fontId="4" fillId="0" borderId="0" xfId="88" applyFont="1" applyAlignment="1">
      <alignment wrapText="1"/>
      <protection/>
    </xf>
    <xf numFmtId="0" fontId="32" fillId="0" borderId="0" xfId="70" applyFont="1" applyAlignment="1" applyProtection="1">
      <alignment/>
      <protection/>
    </xf>
    <xf numFmtId="0" fontId="4" fillId="0" borderId="0" xfId="88" applyFont="1">
      <alignment/>
      <protection/>
    </xf>
    <xf numFmtId="0" fontId="23" fillId="0" borderId="0" xfId="0" applyFont="1" applyAlignment="1">
      <alignment horizontal="center" vertical="center"/>
    </xf>
    <xf numFmtId="0" fontId="5" fillId="0" borderId="0" xfId="0" applyFont="1" applyAlignment="1">
      <alignment vertical="center" wrapText="1"/>
    </xf>
    <xf numFmtId="0" fontId="89" fillId="0" borderId="0" xfId="0" applyFont="1" applyAlignment="1">
      <alignment vertical="center"/>
    </xf>
    <xf numFmtId="0" fontId="90" fillId="0" borderId="0" xfId="0" applyFont="1" applyAlignment="1">
      <alignment wrapText="1"/>
    </xf>
    <xf numFmtId="0" fontId="90" fillId="0" borderId="0" xfId="0" applyFont="1" applyAlignment="1">
      <alignment vertical="center" wrapText="1"/>
    </xf>
    <xf numFmtId="0" fontId="89" fillId="0" borderId="0" xfId="0" applyFont="1" applyAlignment="1">
      <alignment vertical="center" wrapText="1"/>
    </xf>
    <xf numFmtId="0" fontId="5" fillId="0" borderId="0" xfId="0" applyFont="1" applyAlignment="1">
      <alignment wrapText="1"/>
    </xf>
    <xf numFmtId="49" fontId="4" fillId="35" borderId="11" xfId="0" applyNumberFormat="1" applyFont="1" applyFill="1" applyBorder="1" applyAlignment="1" applyProtection="1">
      <alignment horizontal="center" vertical="center"/>
      <protection locked="0"/>
    </xf>
    <xf numFmtId="0" fontId="17" fillId="33" borderId="23" xfId="0" applyFont="1" applyFill="1" applyBorder="1" applyAlignment="1" applyProtection="1">
      <alignment horizontal="left" vertical="center"/>
      <protection/>
    </xf>
    <xf numFmtId="0" fontId="17" fillId="33" borderId="11" xfId="0" applyFont="1" applyFill="1" applyBorder="1" applyAlignment="1" applyProtection="1">
      <alignment horizontal="center" vertical="center"/>
      <protection/>
    </xf>
    <xf numFmtId="37" fontId="4" fillId="44" borderId="23" xfId="0" applyNumberFormat="1" applyFont="1" applyFill="1" applyBorder="1" applyAlignment="1" applyProtection="1">
      <alignment vertical="center"/>
      <protection locked="0"/>
    </xf>
    <xf numFmtId="0" fontId="91" fillId="33" borderId="0" xfId="0" applyFont="1" applyFill="1" applyAlignment="1" applyProtection="1">
      <alignment horizontal="center" vertical="center"/>
      <protection/>
    </xf>
    <xf numFmtId="0" fontId="5" fillId="33" borderId="0" xfId="0" applyFont="1" applyFill="1" applyBorder="1" applyAlignment="1" applyProtection="1">
      <alignment vertical="center"/>
      <protection/>
    </xf>
    <xf numFmtId="0" fontId="5" fillId="33" borderId="14" xfId="0" applyFont="1" applyFill="1" applyBorder="1" applyAlignment="1" applyProtection="1">
      <alignment vertical="center"/>
      <protection/>
    </xf>
    <xf numFmtId="3" fontId="18" fillId="39" borderId="11" xfId="0" applyNumberFormat="1" applyFont="1" applyFill="1" applyBorder="1" applyAlignment="1" applyProtection="1">
      <alignment horizontal="center" vertical="center"/>
      <protection/>
    </xf>
    <xf numFmtId="0" fontId="4" fillId="33" borderId="0" xfId="116" applyFont="1" applyFill="1" applyAlignment="1" applyProtection="1">
      <alignment horizontal="right" vertical="center"/>
      <protection/>
    </xf>
    <xf numFmtId="0" fontId="92" fillId="33" borderId="0" xfId="88" applyFont="1" applyFill="1" applyAlignment="1" applyProtection="1">
      <alignment horizontal="center" vertical="center"/>
      <protection/>
    </xf>
    <xf numFmtId="37" fontId="4" fillId="33" borderId="0" xfId="88" applyNumberFormat="1" applyFont="1" applyFill="1" applyAlignment="1" applyProtection="1">
      <alignment horizontal="right" vertical="center"/>
      <protection/>
    </xf>
    <xf numFmtId="0" fontId="19" fillId="33" borderId="0" xfId="0" applyFont="1" applyFill="1" applyAlignment="1" applyProtection="1">
      <alignment horizontal="center" vertical="center"/>
      <protection/>
    </xf>
    <xf numFmtId="3" fontId="4" fillId="33" borderId="18" xfId="0" applyNumberFormat="1" applyFont="1" applyFill="1" applyBorder="1" applyAlignment="1" applyProtection="1">
      <alignment vertical="center"/>
      <protection/>
    </xf>
    <xf numFmtId="183" fontId="4" fillId="33" borderId="11" xfId="0" applyNumberFormat="1" applyFont="1" applyFill="1" applyBorder="1" applyAlignment="1" applyProtection="1">
      <alignment vertical="center"/>
      <protection/>
    </xf>
    <xf numFmtId="183" fontId="4" fillId="37" borderId="11" xfId="0" applyNumberFormat="1" applyFont="1" applyFill="1" applyBorder="1" applyAlignment="1" applyProtection="1">
      <alignment vertical="center"/>
      <protection/>
    </xf>
    <xf numFmtId="0" fontId="8" fillId="42" borderId="21" xfId="0" applyFont="1" applyFill="1" applyBorder="1" applyAlignment="1" applyProtection="1">
      <alignment/>
      <protection/>
    </xf>
    <xf numFmtId="0" fontId="4" fillId="42" borderId="0" xfId="0" applyFont="1" applyFill="1" applyBorder="1" applyAlignment="1" applyProtection="1">
      <alignment/>
      <protection/>
    </xf>
    <xf numFmtId="187" fontId="4" fillId="42" borderId="24" xfId="0" applyNumberFormat="1" applyFont="1" applyFill="1" applyBorder="1" applyAlignment="1" applyProtection="1">
      <alignment horizontal="center"/>
      <protection/>
    </xf>
    <xf numFmtId="0" fontId="4" fillId="42" borderId="22" xfId="0" applyFont="1" applyFill="1" applyBorder="1" applyAlignment="1" applyProtection="1">
      <alignment/>
      <protection/>
    </xf>
    <xf numFmtId="0" fontId="4" fillId="42" borderId="14" xfId="0" applyFont="1" applyFill="1" applyBorder="1" applyAlignment="1" applyProtection="1">
      <alignment/>
      <protection/>
    </xf>
    <xf numFmtId="187" fontId="4" fillId="47" borderId="17"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24" xfId="0" applyFont="1" applyFill="1" applyBorder="1" applyAlignment="1" applyProtection="1">
      <alignment/>
      <protection/>
    </xf>
    <xf numFmtId="182" fontId="4" fillId="42" borderId="24"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0" xfId="0" applyFont="1" applyFill="1" applyBorder="1" applyAlignment="1" applyProtection="1">
      <alignment/>
      <protection/>
    </xf>
    <xf numFmtId="187" fontId="4" fillId="47" borderId="24" xfId="0" applyNumberFormat="1" applyFont="1" applyFill="1" applyBorder="1" applyAlignment="1" applyProtection="1">
      <alignment horizontal="center"/>
      <protection/>
    </xf>
    <xf numFmtId="0" fontId="4" fillId="47" borderId="22" xfId="0" applyFont="1" applyFill="1" applyBorder="1" applyAlignment="1" applyProtection="1">
      <alignment vertical="center"/>
      <protection/>
    </xf>
    <xf numFmtId="0" fontId="4" fillId="47" borderId="14" xfId="0" applyFont="1" applyFill="1" applyBorder="1" applyAlignment="1" applyProtection="1">
      <alignment vertical="center"/>
      <protection/>
    </xf>
    <xf numFmtId="187" fontId="4" fillId="47" borderId="17"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2" borderId="17" xfId="0" applyNumberFormat="1" applyFont="1" applyFill="1" applyBorder="1" applyAlignment="1" applyProtection="1">
      <alignment horizontal="center"/>
      <protection/>
    </xf>
    <xf numFmtId="0" fontId="4" fillId="47" borderId="22" xfId="0" applyFont="1" applyFill="1" applyBorder="1" applyAlignment="1" applyProtection="1">
      <alignment/>
      <protection/>
    </xf>
    <xf numFmtId="0" fontId="4" fillId="47" borderId="14" xfId="0" applyFont="1" applyFill="1" applyBorder="1" applyAlignment="1" applyProtection="1">
      <alignment/>
      <protection/>
    </xf>
    <xf numFmtId="0" fontId="4" fillId="0" borderId="0" xfId="0" applyFont="1" applyFill="1" applyBorder="1" applyAlignment="1" applyProtection="1">
      <alignment/>
      <protection/>
    </xf>
    <xf numFmtId="183" fontId="4" fillId="44" borderId="24" xfId="0" applyNumberFormat="1" applyFont="1" applyFill="1" applyBorder="1" applyAlignment="1" applyProtection="1">
      <alignment horizontal="center"/>
      <protection locked="0"/>
    </xf>
    <xf numFmtId="0" fontId="4" fillId="42" borderId="21"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24" xfId="0" applyFont="1" applyFill="1" applyBorder="1" applyAlignment="1" applyProtection="1">
      <alignment vertical="center"/>
      <protection/>
    </xf>
    <xf numFmtId="187" fontId="8" fillId="42" borderId="21" xfId="0" applyNumberFormat="1" applyFont="1" applyFill="1" applyBorder="1" applyAlignment="1" applyProtection="1">
      <alignment horizontal="center" vertical="center"/>
      <protection/>
    </xf>
    <xf numFmtId="0" fontId="21" fillId="42" borderId="0" xfId="0" applyFont="1" applyFill="1" applyBorder="1" applyAlignment="1" applyProtection="1">
      <alignment vertical="center"/>
      <protection/>
    </xf>
    <xf numFmtId="187" fontId="8" fillId="42" borderId="22" xfId="0" applyNumberFormat="1" applyFont="1" applyFill="1" applyBorder="1" applyAlignment="1" applyProtection="1">
      <alignment horizontal="center" vertical="center"/>
      <protection/>
    </xf>
    <xf numFmtId="187" fontId="8" fillId="42" borderId="21" xfId="0" applyNumberFormat="1" applyFont="1" applyFill="1" applyBorder="1" applyAlignment="1" applyProtection="1">
      <alignment vertical="center"/>
      <protection/>
    </xf>
    <xf numFmtId="187" fontId="8" fillId="47" borderId="22" xfId="0" applyNumberFormat="1" applyFont="1" applyFill="1" applyBorder="1" applyAlignment="1" applyProtection="1">
      <alignment horizontal="center" vertical="center"/>
      <protection/>
    </xf>
    <xf numFmtId="0" fontId="4" fillId="47" borderId="17" xfId="0" applyFont="1" applyFill="1" applyBorder="1" applyAlignment="1" applyProtection="1">
      <alignment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0" fontId="8" fillId="47" borderId="14"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1" xfId="0" applyFont="1" applyFill="1" applyBorder="1" applyAlignment="1" applyProtection="1">
      <alignment vertical="center"/>
      <protection/>
    </xf>
    <xf numFmtId="187" fontId="8" fillId="42" borderId="24" xfId="0" applyNumberFormat="1" applyFont="1" applyFill="1" applyBorder="1" applyAlignment="1" applyProtection="1">
      <alignment horizontal="center" vertical="center"/>
      <protection/>
    </xf>
    <xf numFmtId="0" fontId="8" fillId="42" borderId="21" xfId="0" applyFont="1" applyFill="1" applyBorder="1" applyAlignment="1" applyProtection="1">
      <alignment horizontal="left" vertical="center"/>
      <protection/>
    </xf>
    <xf numFmtId="187" fontId="8" fillId="44" borderId="11" xfId="0" applyNumberFormat="1" applyFont="1" applyFill="1" applyBorder="1" applyAlignment="1" applyProtection="1">
      <alignment horizontal="center" vertical="center"/>
      <protection locked="0"/>
    </xf>
    <xf numFmtId="0" fontId="5" fillId="33" borderId="13" xfId="0" applyFont="1" applyFill="1" applyBorder="1" applyAlignment="1" applyProtection="1">
      <alignment horizontal="left" vertical="center"/>
      <protection/>
    </xf>
    <xf numFmtId="0" fontId="4" fillId="0" borderId="0" xfId="116" applyFont="1" applyAlignment="1">
      <alignment vertical="center"/>
      <protection/>
    </xf>
    <xf numFmtId="0" fontId="4" fillId="0" borderId="0" xfId="116" applyFont="1" applyAlignment="1">
      <alignment vertical="center" wrapText="1"/>
      <protection/>
    </xf>
    <xf numFmtId="0" fontId="87" fillId="42" borderId="0" xfId="0" applyFont="1" applyFill="1" applyAlignment="1">
      <alignment horizontal="center" wrapText="1"/>
    </xf>
    <xf numFmtId="0" fontId="87" fillId="42" borderId="0" xfId="0" applyFont="1" applyFill="1" applyAlignment="1">
      <alignment horizontal="center"/>
    </xf>
    <xf numFmtId="187" fontId="29" fillId="44" borderId="14" xfId="0" applyNumberFormat="1" applyFont="1" applyFill="1" applyBorder="1" applyAlignment="1" applyProtection="1">
      <alignment horizontal="center"/>
      <protection locked="0"/>
    </xf>
    <xf numFmtId="0" fontId="29" fillId="42" borderId="0" xfId="0" applyFont="1" applyFill="1" applyBorder="1" applyAlignment="1">
      <alignment/>
    </xf>
    <xf numFmtId="0" fontId="29" fillId="42" borderId="34" xfId="0" applyFont="1" applyFill="1" applyBorder="1" applyAlignment="1">
      <alignment/>
    </xf>
    <xf numFmtId="0" fontId="29" fillId="42" borderId="0" xfId="0" applyFont="1" applyFill="1" applyBorder="1" applyAlignment="1">
      <alignment horizontal="center"/>
    </xf>
    <xf numFmtId="187" fontId="29" fillId="42" borderId="0" xfId="0" applyNumberFormat="1" applyFont="1" applyFill="1" applyBorder="1" applyAlignment="1">
      <alignment horizontal="center"/>
    </xf>
    <xf numFmtId="0" fontId="29" fillId="42" borderId="20" xfId="0" applyFont="1" applyFill="1" applyBorder="1" applyAlignment="1">
      <alignment horizontal="center"/>
    </xf>
    <xf numFmtId="188" fontId="29" fillId="42" borderId="0" xfId="0" applyNumberFormat="1" applyFont="1" applyFill="1" applyBorder="1" applyAlignment="1">
      <alignment horizontal="center"/>
    </xf>
    <xf numFmtId="0" fontId="4" fillId="0" borderId="0" xfId="537" applyFont="1" applyAlignment="1">
      <alignment horizontal="left" vertical="center" wrapText="1"/>
      <protection/>
    </xf>
    <xf numFmtId="0" fontId="4" fillId="0" borderId="0" xfId="152" applyFont="1" applyAlignment="1">
      <alignment vertical="center"/>
      <protection/>
    </xf>
    <xf numFmtId="3" fontId="4" fillId="33" borderId="13" xfId="0" applyNumberFormat="1" applyFont="1" applyFill="1" applyBorder="1" applyAlignment="1" applyProtection="1">
      <alignment horizontal="right" vertical="center"/>
      <protection/>
    </xf>
    <xf numFmtId="164" fontId="4" fillId="33" borderId="13" xfId="0" applyNumberFormat="1" applyFont="1" applyFill="1" applyBorder="1" applyAlignment="1" applyProtection="1">
      <alignment horizontal="right" vertical="center"/>
      <protection/>
    </xf>
    <xf numFmtId="164" fontId="4" fillId="33" borderId="11" xfId="0" applyNumberFormat="1" applyFont="1" applyFill="1" applyBorder="1" applyAlignment="1" applyProtection="1">
      <alignment horizontal="right" vertical="center"/>
      <protection/>
    </xf>
    <xf numFmtId="37" fontId="4" fillId="33" borderId="11" xfId="0" applyNumberFormat="1" applyFont="1" applyFill="1" applyBorder="1" applyAlignment="1" applyProtection="1">
      <alignment horizontal="right" vertical="center"/>
      <protection/>
    </xf>
    <xf numFmtId="3" fontId="4" fillId="33" borderId="38" xfId="0" applyNumberFormat="1" applyFont="1" applyFill="1" applyBorder="1" applyAlignment="1" applyProtection="1">
      <alignment horizontal="right" vertical="center"/>
      <protection/>
    </xf>
    <xf numFmtId="37" fontId="4" fillId="33" borderId="38" xfId="0" applyNumberFormat="1" applyFont="1" applyFill="1" applyBorder="1" applyAlignment="1" applyProtection="1">
      <alignment horizontal="right" vertical="center"/>
      <protection/>
    </xf>
    <xf numFmtId="164" fontId="4" fillId="33" borderId="38" xfId="0" applyNumberFormat="1" applyFont="1" applyFill="1" applyBorder="1" applyAlignment="1" applyProtection="1">
      <alignment horizontal="right" vertical="center"/>
      <protection/>
    </xf>
    <xf numFmtId="3" fontId="4" fillId="37" borderId="39" xfId="0" applyNumberFormat="1" applyFont="1" applyFill="1" applyBorder="1" applyAlignment="1" applyProtection="1">
      <alignment horizontal="right" vertical="center"/>
      <protection/>
    </xf>
    <xf numFmtId="37" fontId="4" fillId="37" borderId="39" xfId="0" applyNumberFormat="1" applyFont="1" applyFill="1" applyBorder="1" applyAlignment="1" applyProtection="1">
      <alignment horizontal="right" vertical="center"/>
      <protection/>
    </xf>
    <xf numFmtId="175" fontId="4" fillId="37" borderId="39" xfId="0" applyNumberFormat="1" applyFont="1" applyFill="1" applyBorder="1" applyAlignment="1" applyProtection="1">
      <alignment horizontal="right" vertical="center"/>
      <protection/>
    </xf>
    <xf numFmtId="0" fontId="4" fillId="33" borderId="0" xfId="0" applyFont="1" applyFill="1" applyBorder="1" applyAlignment="1" applyProtection="1">
      <alignment vertical="center"/>
      <protection locked="0"/>
    </xf>
    <xf numFmtId="0" fontId="4" fillId="33" borderId="0" xfId="0" applyFont="1" applyFill="1" applyBorder="1" applyAlignment="1" applyProtection="1">
      <alignment horizontal="fill" vertical="center"/>
      <protection locked="0"/>
    </xf>
    <xf numFmtId="0" fontId="4" fillId="33" borderId="0" xfId="0" applyFont="1" applyFill="1" applyBorder="1" applyAlignment="1" applyProtection="1">
      <alignment horizontal="centerContinuous" vertical="center"/>
      <protection/>
    </xf>
    <xf numFmtId="0" fontId="4" fillId="33" borderId="11" xfId="575" applyFont="1" applyFill="1" applyBorder="1" applyAlignment="1" applyProtection="1">
      <alignment vertical="center"/>
      <protection/>
    </xf>
    <xf numFmtId="3" fontId="4" fillId="33" borderId="11" xfId="575" applyNumberFormat="1" applyFont="1" applyFill="1" applyBorder="1" applyAlignment="1" applyProtection="1">
      <alignment vertical="center"/>
      <protection/>
    </xf>
    <xf numFmtId="0" fontId="5" fillId="33" borderId="11" xfId="575" applyFont="1" applyFill="1" applyBorder="1" applyAlignment="1" applyProtection="1">
      <alignment horizontal="center" vertical="center"/>
      <protection/>
    </xf>
    <xf numFmtId="37" fontId="5" fillId="48" borderId="11" xfId="575" applyNumberFormat="1" applyFont="1" applyFill="1" applyBorder="1" applyAlignment="1" applyProtection="1">
      <alignment vertical="center"/>
      <protection/>
    </xf>
    <xf numFmtId="190" fontId="4" fillId="33" borderId="0" xfId="88" applyNumberFormat="1" applyFont="1" applyFill="1" applyAlignment="1" applyProtection="1">
      <alignment horizontal="center"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4" fillId="42"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8" fillId="0" borderId="0" xfId="0" applyNumberFormat="1"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34"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5" fillId="0" borderId="0" xfId="0" applyFont="1" applyFill="1" applyBorder="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4" fillId="33" borderId="10" xfId="0" applyFont="1" applyFill="1" applyBorder="1" applyAlignment="1" applyProtection="1">
      <alignment horizontal="left" vertical="center"/>
      <protection/>
    </xf>
    <xf numFmtId="37" fontId="4" fillId="33" borderId="10" xfId="0" applyNumberFormat="1" applyFont="1" applyFill="1" applyBorder="1" applyAlignment="1" applyProtection="1">
      <alignment horizontal="left" vertical="center"/>
      <protection/>
    </xf>
    <xf numFmtId="0" fontId="6" fillId="33" borderId="14" xfId="0" applyFont="1" applyFill="1" applyBorder="1" applyAlignment="1" applyProtection="1">
      <alignment horizontal="center" vertical="center"/>
      <protection/>
    </xf>
    <xf numFmtId="10" fontId="4" fillId="35" borderId="11" xfId="0" applyNumberFormat="1" applyFont="1" applyFill="1" applyBorder="1" applyAlignment="1" applyProtection="1">
      <alignment vertical="center"/>
      <protection locked="0"/>
    </xf>
    <xf numFmtId="0" fontId="4" fillId="47" borderId="17" xfId="0" applyFont="1" applyFill="1" applyBorder="1" applyAlignment="1" applyProtection="1">
      <alignment/>
      <protection locked="0"/>
    </xf>
    <xf numFmtId="0" fontId="93" fillId="0" borderId="0" xfId="0" applyFont="1" applyAlignment="1" applyProtection="1">
      <alignment/>
      <protection locked="0"/>
    </xf>
    <xf numFmtId="0" fontId="4" fillId="42" borderId="24" xfId="0" applyFont="1" applyFill="1" applyBorder="1" applyAlignment="1" applyProtection="1">
      <alignment vertical="center"/>
      <protection locked="0"/>
    </xf>
    <xf numFmtId="0" fontId="37" fillId="0" borderId="0" xfId="0" applyFont="1" applyAlignment="1" applyProtection="1">
      <alignment vertical="center"/>
      <protection/>
    </xf>
    <xf numFmtId="0" fontId="4" fillId="42" borderId="24" xfId="0" applyFont="1" applyFill="1" applyBorder="1" applyAlignment="1" applyProtection="1">
      <alignment/>
      <protection locked="0"/>
    </xf>
    <xf numFmtId="183" fontId="36" fillId="42" borderId="15" xfId="0" applyNumberFormat="1" applyFont="1" applyFill="1" applyBorder="1" applyAlignment="1" applyProtection="1">
      <alignment horizontal="center" vertical="center"/>
      <protection/>
    </xf>
    <xf numFmtId="0" fontId="0" fillId="42" borderId="17" xfId="0" applyFill="1" applyBorder="1" applyAlignment="1" applyProtection="1">
      <alignment vertical="center"/>
      <protection/>
    </xf>
    <xf numFmtId="0" fontId="34" fillId="42" borderId="14" xfId="0" applyFont="1" applyFill="1" applyBorder="1" applyAlignment="1" applyProtection="1">
      <alignment horizontal="center" vertical="center"/>
      <protection/>
    </xf>
    <xf numFmtId="0" fontId="8" fillId="42" borderId="14" xfId="0" applyFont="1" applyFill="1" applyBorder="1" applyAlignment="1" applyProtection="1">
      <alignment horizontal="left" vertical="center"/>
      <protection/>
    </xf>
    <xf numFmtId="183" fontId="8" fillId="47" borderId="23" xfId="0" applyNumberFormat="1" applyFont="1" applyFill="1" applyBorder="1" applyAlignment="1" applyProtection="1">
      <alignment horizontal="center" vertical="center"/>
      <protection/>
    </xf>
    <xf numFmtId="183" fontId="8" fillId="42" borderId="23"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7" borderId="22" xfId="0" applyNumberFormat="1" applyFont="1" applyFill="1" applyBorder="1" applyAlignment="1" applyProtection="1">
      <alignment horizontal="center" vertical="center"/>
      <protection/>
    </xf>
    <xf numFmtId="0" fontId="0" fillId="42" borderId="24" xfId="0" applyFill="1" applyBorder="1" applyAlignment="1" applyProtection="1">
      <alignment vertical="center"/>
      <protection/>
    </xf>
    <xf numFmtId="183" fontId="8" fillId="42" borderId="21" xfId="0" applyNumberFormat="1" applyFont="1" applyFill="1" applyBorder="1" applyAlignment="1" applyProtection="1">
      <alignment horizontal="center" vertical="center"/>
      <protection/>
    </xf>
    <xf numFmtId="0" fontId="8" fillId="47" borderId="17" xfId="0" applyFont="1" applyFill="1" applyBorder="1" applyAlignment="1" applyProtection="1">
      <alignment vertical="center"/>
      <protection/>
    </xf>
    <xf numFmtId="0" fontId="36" fillId="39" borderId="14" xfId="0" applyFont="1" applyFill="1" applyBorder="1" applyAlignment="1" applyProtection="1">
      <alignment vertical="center"/>
      <protection/>
    </xf>
    <xf numFmtId="187" fontId="36" fillId="39" borderId="22" xfId="0" applyNumberFormat="1" applyFont="1" applyFill="1" applyBorder="1" applyAlignment="1" applyProtection="1">
      <alignment horizontal="center" vertical="center"/>
      <protection/>
    </xf>
    <xf numFmtId="0" fontId="38" fillId="0" borderId="0" xfId="0" applyFont="1" applyAlignment="1" applyProtection="1">
      <alignment vertical="center"/>
      <protection/>
    </xf>
    <xf numFmtId="0" fontId="37" fillId="0" borderId="0" xfId="0" applyFont="1" applyAlignment="1" applyProtection="1">
      <alignment/>
      <protection locked="0"/>
    </xf>
    <xf numFmtId="0" fontId="8" fillId="42" borderId="24" xfId="0" applyFont="1" applyFill="1" applyBorder="1" applyAlignment="1" applyProtection="1">
      <alignment vertical="center"/>
      <protection/>
    </xf>
    <xf numFmtId="187" fontId="36" fillId="47" borderId="17" xfId="0" applyNumberFormat="1" applyFont="1" applyFill="1" applyBorder="1" applyAlignment="1" applyProtection="1">
      <alignment horizontal="center" vertical="center"/>
      <protection locked="0"/>
    </xf>
    <xf numFmtId="0" fontId="16" fillId="42" borderId="14" xfId="0" applyFont="1" applyFill="1" applyBorder="1" applyAlignment="1">
      <alignment horizontal="left" vertical="center"/>
    </xf>
    <xf numFmtId="187" fontId="36" fillId="47" borderId="15" xfId="0" applyNumberFormat="1" applyFont="1" applyFill="1" applyBorder="1" applyAlignment="1" applyProtection="1">
      <alignment horizontal="center" vertical="center"/>
      <protection/>
    </xf>
    <xf numFmtId="0" fontId="36" fillId="47" borderId="21" xfId="0" applyFont="1" applyFill="1" applyBorder="1" applyAlignment="1" applyProtection="1">
      <alignment vertical="center"/>
      <protection/>
    </xf>
    <xf numFmtId="0" fontId="36" fillId="33" borderId="15" xfId="0" applyFont="1" applyFill="1" applyBorder="1" applyAlignment="1" applyProtection="1">
      <alignment horizontal="center" vertical="center"/>
      <protection/>
    </xf>
    <xf numFmtId="37" fontId="8" fillId="33" borderId="22" xfId="0" applyNumberFormat="1" applyFont="1" applyFill="1" applyBorder="1" applyAlignment="1" applyProtection="1">
      <alignment horizontal="left" vertical="center"/>
      <protection/>
    </xf>
    <xf numFmtId="0" fontId="4" fillId="0" borderId="0" xfId="0" applyFont="1" applyAlignment="1" applyProtection="1">
      <alignment/>
      <protection locked="0"/>
    </xf>
    <xf numFmtId="190" fontId="4" fillId="35" borderId="11" xfId="0" applyNumberFormat="1" applyFont="1" applyFill="1" applyBorder="1" applyAlignment="1" applyProtection="1">
      <alignment vertical="center"/>
      <protection locked="0"/>
    </xf>
    <xf numFmtId="37" fontId="4" fillId="33" borderId="10" xfId="89" applyNumberFormat="1" applyFont="1" applyFill="1" applyBorder="1" applyAlignment="1" applyProtection="1">
      <alignment horizontal="left" vertical="center"/>
      <protection/>
    </xf>
    <xf numFmtId="0" fontId="10" fillId="0" borderId="0" xfId="537" applyFont="1" applyAlignment="1">
      <alignment horizontal="left" vertical="center" wrapText="1"/>
      <protection/>
    </xf>
    <xf numFmtId="0" fontId="4" fillId="0" borderId="0" xfId="540" applyFont="1" applyAlignment="1">
      <alignment horizontal="left" vertical="center"/>
      <protection/>
    </xf>
    <xf numFmtId="0" fontId="40" fillId="0" borderId="0" xfId="0" applyFont="1" applyAlignment="1">
      <alignment/>
    </xf>
    <xf numFmtId="0" fontId="41" fillId="0" borderId="0" xfId="540" applyFont="1">
      <alignment/>
      <protection/>
    </xf>
    <xf numFmtId="184" fontId="42" fillId="0" borderId="0" xfId="540" applyNumberFormat="1" applyFont="1" applyAlignment="1">
      <alignment horizontal="left" vertical="center"/>
      <protection/>
    </xf>
    <xf numFmtId="0" fontId="42" fillId="0" borderId="0" xfId="540" applyNumberFormat="1" applyFont="1" applyAlignment="1">
      <alignment horizontal="left" vertical="center"/>
      <protection/>
    </xf>
    <xf numFmtId="1" fontId="42" fillId="0" borderId="0" xfId="540" applyNumberFormat="1" applyFont="1" applyAlignment="1">
      <alignment horizontal="left" vertical="center"/>
      <protection/>
    </xf>
    <xf numFmtId="0" fontId="43" fillId="0" borderId="0" xfId="540" applyFont="1" applyAlignment="1">
      <alignment horizontal="left" vertical="center"/>
      <protection/>
    </xf>
    <xf numFmtId="3" fontId="4" fillId="33" borderId="17" xfId="0" applyNumberFormat="1" applyFont="1" applyFill="1" applyBorder="1" applyAlignment="1" applyProtection="1">
      <alignment horizontal="fill" vertical="center"/>
      <protection/>
    </xf>
    <xf numFmtId="0" fontId="4" fillId="42" borderId="0" xfId="95" applyNumberFormat="1" applyFont="1" applyFill="1" applyAlignment="1">
      <alignment vertical="center"/>
      <protection/>
    </xf>
    <xf numFmtId="0" fontId="91" fillId="0" borderId="0" xfId="116" applyFont="1" applyAlignment="1" applyProtection="1">
      <alignment vertical="center"/>
      <protection locked="0"/>
    </xf>
    <xf numFmtId="0" fontId="91" fillId="0" borderId="0" xfId="86" applyFont="1" applyProtection="1">
      <alignment/>
      <protection locked="0"/>
    </xf>
    <xf numFmtId="0" fontId="4" fillId="0" borderId="0" xfId="86" applyFont="1" applyAlignment="1" applyProtection="1">
      <alignment vertical="center"/>
      <protection locked="0"/>
    </xf>
    <xf numFmtId="183" fontId="8" fillId="0" borderId="0" xfId="69" applyNumberFormat="1" applyFont="1" applyFill="1" applyBorder="1" applyAlignment="1" applyProtection="1">
      <alignment horizontal="center" vertical="center"/>
      <protection/>
    </xf>
    <xf numFmtId="0" fontId="93" fillId="0" borderId="0" xfId="86" applyFont="1">
      <alignment/>
      <protection/>
    </xf>
    <xf numFmtId="0" fontId="4" fillId="47" borderId="17" xfId="86" applyFont="1" applyFill="1" applyBorder="1" applyProtection="1">
      <alignment/>
      <protection locked="0"/>
    </xf>
    <xf numFmtId="0" fontId="21" fillId="47" borderId="14" xfId="86" applyFont="1" applyFill="1" applyBorder="1" applyAlignment="1" applyProtection="1">
      <alignment vertical="center"/>
      <protection/>
    </xf>
    <xf numFmtId="187" fontId="21" fillId="47" borderId="22" xfId="86" applyNumberFormat="1" applyFont="1" applyFill="1" applyBorder="1" applyAlignment="1" applyProtection="1">
      <alignment horizontal="center" vertical="center"/>
      <protection/>
    </xf>
    <xf numFmtId="187" fontId="21" fillId="42" borderId="22" xfId="86" applyNumberFormat="1" applyFont="1" applyFill="1" applyBorder="1" applyAlignment="1" applyProtection="1">
      <alignment horizontal="center" vertical="center"/>
      <protection/>
    </xf>
    <xf numFmtId="0" fontId="21" fillId="42" borderId="0" xfId="86" applyFont="1" applyFill="1" applyBorder="1" applyAlignment="1" applyProtection="1">
      <alignment vertical="center"/>
      <protection/>
    </xf>
    <xf numFmtId="187" fontId="21" fillId="42" borderId="21" xfId="86" applyNumberFormat="1" applyFont="1" applyFill="1" applyBorder="1" applyAlignment="1" applyProtection="1">
      <alignment vertical="center"/>
      <protection/>
    </xf>
    <xf numFmtId="0" fontId="4" fillId="42" borderId="24" xfId="86" applyFont="1" applyFill="1" applyBorder="1" applyAlignment="1" applyProtection="1">
      <alignment vertical="center"/>
      <protection/>
    </xf>
    <xf numFmtId="187" fontId="21" fillId="42" borderId="21" xfId="86" applyNumberFormat="1" applyFont="1" applyFill="1" applyBorder="1" applyAlignment="1" applyProtection="1">
      <alignment horizontal="center" vertical="center"/>
      <protection/>
    </xf>
    <xf numFmtId="0" fontId="37" fillId="0" borderId="0" xfId="86" applyFont="1" applyAlignment="1" applyProtection="1">
      <alignment horizontal="right" vertical="center"/>
      <protection/>
    </xf>
    <xf numFmtId="0" fontId="4" fillId="42" borderId="24" xfId="86" applyFont="1" applyFill="1" applyBorder="1" applyProtection="1">
      <alignment/>
      <protection locked="0"/>
    </xf>
    <xf numFmtId="0" fontId="4" fillId="42" borderId="21" xfId="86" applyFont="1" applyFill="1" applyBorder="1" applyAlignment="1" applyProtection="1">
      <alignment vertical="center"/>
      <protection/>
    </xf>
    <xf numFmtId="3" fontId="4" fillId="35" borderId="11" xfId="86" applyNumberFormat="1" applyFont="1" applyFill="1" applyBorder="1" applyAlignment="1" applyProtection="1">
      <alignment horizontal="right" vertical="center"/>
      <protection locked="0"/>
    </xf>
    <xf numFmtId="37" fontId="4" fillId="33" borderId="22" xfId="86" applyNumberFormat="1" applyFont="1" applyFill="1" applyBorder="1" applyAlignment="1" applyProtection="1">
      <alignment horizontal="left" vertical="center"/>
      <protection/>
    </xf>
    <xf numFmtId="0" fontId="0" fillId="42" borderId="17" xfId="86" applyFill="1" applyBorder="1" applyAlignment="1" applyProtection="1">
      <alignment vertical="center"/>
      <protection/>
    </xf>
    <xf numFmtId="0" fontId="34" fillId="42" borderId="14" xfId="86" applyFont="1" applyFill="1" applyBorder="1" applyAlignment="1" applyProtection="1">
      <alignment horizontal="center" vertical="center"/>
      <protection/>
    </xf>
    <xf numFmtId="0" fontId="8" fillId="42" borderId="14" xfId="86" applyFont="1" applyFill="1" applyBorder="1" applyAlignment="1" applyProtection="1">
      <alignment horizontal="left" vertical="center"/>
      <protection/>
    </xf>
    <xf numFmtId="183" fontId="8" fillId="47" borderId="23" xfId="86" applyNumberFormat="1" applyFont="1" applyFill="1" applyBorder="1" applyAlignment="1" applyProtection="1">
      <alignment horizontal="center" vertical="center"/>
      <protection/>
    </xf>
    <xf numFmtId="37" fontId="5" fillId="33" borderId="0" xfId="86" applyNumberFormat="1" applyFont="1" applyFill="1" applyBorder="1" applyAlignment="1" applyProtection="1">
      <alignment vertical="center"/>
      <protection/>
    </xf>
    <xf numFmtId="183" fontId="8" fillId="42" borderId="23" xfId="86" applyNumberFormat="1" applyFont="1" applyFill="1" applyBorder="1" applyAlignment="1" applyProtection="1">
      <alignment horizontal="center" vertical="center"/>
      <protection/>
    </xf>
    <xf numFmtId="183" fontId="8" fillId="47" borderId="22" xfId="86" applyNumberFormat="1" applyFont="1" applyFill="1" applyBorder="1" applyAlignment="1" applyProtection="1">
      <alignment horizontal="center" vertical="center"/>
      <protection/>
    </xf>
    <xf numFmtId="0" fontId="0" fillId="42" borderId="24" xfId="86" applyFill="1" applyBorder="1" applyAlignment="1" applyProtection="1">
      <alignment vertical="center"/>
      <protection/>
    </xf>
    <xf numFmtId="0" fontId="34" fillId="42" borderId="0" xfId="86" applyFont="1" applyFill="1" applyBorder="1" applyAlignment="1" applyProtection="1">
      <alignment horizontal="center" vertical="center"/>
      <protection/>
    </xf>
    <xf numFmtId="183" fontId="8" fillId="42" borderId="21" xfId="86" applyNumberFormat="1" applyFont="1" applyFill="1" applyBorder="1" applyAlignment="1" applyProtection="1">
      <alignment horizontal="center" vertical="center"/>
      <protection/>
    </xf>
    <xf numFmtId="0" fontId="4" fillId="33" borderId="0" xfId="69" applyNumberFormat="1" applyFont="1" applyFill="1" applyBorder="1" applyAlignment="1" applyProtection="1">
      <alignment horizontal="right" vertical="center"/>
      <protection/>
    </xf>
    <xf numFmtId="183" fontId="4" fillId="42" borderId="0" xfId="86" applyNumberFormat="1" applyFont="1" applyFill="1" applyBorder="1" applyAlignment="1" applyProtection="1">
      <alignment vertical="center"/>
      <protection/>
    </xf>
    <xf numFmtId="3" fontId="4" fillId="39" borderId="18" xfId="86" applyNumberFormat="1" applyFont="1" applyFill="1" applyBorder="1" applyAlignment="1" applyProtection="1">
      <alignment vertical="center"/>
      <protection/>
    </xf>
    <xf numFmtId="37" fontId="4" fillId="47" borderId="17" xfId="86" applyNumberFormat="1" applyFont="1" applyFill="1" applyBorder="1" applyAlignment="1" applyProtection="1">
      <alignment horizontal="right" vertical="center"/>
      <protection/>
    </xf>
    <xf numFmtId="0" fontId="8" fillId="47" borderId="17" xfId="86" applyFont="1" applyFill="1" applyBorder="1" applyAlignment="1" applyProtection="1">
      <alignment vertical="center"/>
      <protection/>
    </xf>
    <xf numFmtId="0" fontId="8" fillId="47" borderId="14" xfId="86" applyFont="1" applyFill="1" applyBorder="1" applyAlignment="1" applyProtection="1">
      <alignment vertical="center"/>
      <protection/>
    </xf>
    <xf numFmtId="187" fontId="8" fillId="47" borderId="22" xfId="86" applyNumberFormat="1" applyFont="1" applyFill="1" applyBorder="1" applyAlignment="1" applyProtection="1">
      <alignment horizontal="center" vertical="center"/>
      <protection/>
    </xf>
    <xf numFmtId="190" fontId="4" fillId="42" borderId="0" xfId="116" applyNumberFormat="1" applyFont="1" applyFill="1" applyAlignment="1">
      <alignment horizontal="center" vertical="center"/>
      <protection/>
    </xf>
    <xf numFmtId="3" fontId="4" fillId="37" borderId="11" xfId="86" applyNumberFormat="1" applyFont="1" applyFill="1" applyBorder="1" applyAlignment="1" applyProtection="1">
      <alignment vertical="center"/>
      <protection/>
    </xf>
    <xf numFmtId="0" fontId="14" fillId="33" borderId="0" xfId="86" applyFont="1" applyFill="1" applyAlignment="1" applyProtection="1">
      <alignment horizontal="center" vertical="center"/>
      <protection/>
    </xf>
    <xf numFmtId="187" fontId="8" fillId="42" borderId="21" xfId="86" applyNumberFormat="1" applyFont="1" applyFill="1" applyBorder="1" applyAlignment="1" applyProtection="1">
      <alignment vertical="center"/>
      <protection/>
    </xf>
    <xf numFmtId="0" fontId="91" fillId="33" borderId="0" xfId="86" applyFont="1" applyFill="1" applyAlignment="1" applyProtection="1">
      <alignment horizontal="center" vertical="center"/>
      <protection/>
    </xf>
    <xf numFmtId="0" fontId="39" fillId="0" borderId="0" xfId="86" applyFont="1" applyAlignment="1" applyProtection="1">
      <alignment vertical="center"/>
      <protection/>
    </xf>
    <xf numFmtId="0" fontId="93" fillId="0" borderId="0" xfId="86" applyFont="1" applyProtection="1">
      <alignment/>
      <protection locked="0"/>
    </xf>
    <xf numFmtId="187" fontId="8" fillId="42" borderId="22" xfId="86" applyNumberFormat="1" applyFont="1" applyFill="1" applyBorder="1" applyAlignment="1" applyProtection="1">
      <alignment horizontal="center" vertical="center"/>
      <protection/>
    </xf>
    <xf numFmtId="0" fontId="18" fillId="0" borderId="0" xfId="86" applyFont="1" applyAlignment="1" applyProtection="1">
      <alignment vertical="center"/>
      <protection/>
    </xf>
    <xf numFmtId="0" fontId="4" fillId="33" borderId="0" xfId="86" applyFont="1" applyFill="1" applyAlignment="1" applyProtection="1">
      <alignment horizontal="right" vertical="center"/>
      <protection/>
    </xf>
    <xf numFmtId="0" fontId="0" fillId="0" borderId="0" xfId="86">
      <alignment/>
      <protection/>
    </xf>
    <xf numFmtId="3" fontId="4" fillId="37" borderId="23" xfId="86" applyNumberFormat="1" applyFont="1" applyFill="1" applyBorder="1" applyAlignment="1" applyProtection="1">
      <alignment vertical="center"/>
      <protection/>
    </xf>
    <xf numFmtId="0" fontId="8" fillId="42" borderId="24" xfId="86" applyFont="1" applyFill="1" applyBorder="1" applyAlignment="1" applyProtection="1">
      <alignment vertical="center"/>
      <protection/>
    </xf>
    <xf numFmtId="0" fontId="8" fillId="42" borderId="0" xfId="86" applyFont="1" applyFill="1" applyBorder="1" applyAlignment="1" applyProtection="1">
      <alignment horizontal="left" vertical="center"/>
      <protection/>
    </xf>
    <xf numFmtId="187" fontId="8" fillId="42" borderId="21" xfId="86" applyNumberFormat="1" applyFont="1" applyFill="1" applyBorder="1" applyAlignment="1" applyProtection="1">
      <alignment horizontal="center" vertical="center"/>
      <protection/>
    </xf>
    <xf numFmtId="3" fontId="5" fillId="37" borderId="11" xfId="86" applyNumberFormat="1" applyFont="1" applyFill="1" applyBorder="1" applyAlignment="1" applyProtection="1">
      <alignment vertical="center"/>
      <protection/>
    </xf>
    <xf numFmtId="3" fontId="5" fillId="37" borderId="23" xfId="86" applyNumberFormat="1" applyFont="1" applyFill="1" applyBorder="1" applyAlignment="1" applyProtection="1">
      <alignment vertical="center"/>
      <protection/>
    </xf>
    <xf numFmtId="37" fontId="4" fillId="33" borderId="24" xfId="86" applyNumberFormat="1" applyFont="1" applyFill="1" applyBorder="1" applyAlignment="1" applyProtection="1">
      <alignment horizontal="right" vertical="center"/>
      <protection/>
    </xf>
    <xf numFmtId="0" fontId="4" fillId="33" borderId="23" xfId="86" applyFont="1" applyFill="1" applyBorder="1" applyAlignment="1" applyProtection="1">
      <alignment vertical="center"/>
      <protection locked="0"/>
    </xf>
    <xf numFmtId="187" fontId="36" fillId="47" borderId="17" xfId="86" applyNumberFormat="1" applyFont="1" applyFill="1" applyBorder="1" applyAlignment="1" applyProtection="1">
      <alignment horizontal="center" vertical="center"/>
      <protection locked="0"/>
    </xf>
    <xf numFmtId="0" fontId="16" fillId="42" borderId="14" xfId="86" applyFont="1" applyFill="1" applyBorder="1" applyAlignment="1">
      <alignment horizontal="left" vertical="center"/>
      <protection/>
    </xf>
    <xf numFmtId="37" fontId="8" fillId="33" borderId="22" xfId="86" applyNumberFormat="1" applyFont="1" applyFill="1" applyBorder="1" applyAlignment="1" applyProtection="1">
      <alignment horizontal="left" vertical="center"/>
      <protection/>
    </xf>
    <xf numFmtId="187" fontId="36" fillId="47" borderId="15" xfId="86" applyNumberFormat="1" applyFont="1" applyFill="1" applyBorder="1" applyAlignment="1" applyProtection="1">
      <alignment horizontal="center" vertical="center"/>
      <protection/>
    </xf>
    <xf numFmtId="0" fontId="8" fillId="47" borderId="0" xfId="86" applyFont="1" applyFill="1" applyBorder="1" applyAlignment="1" applyProtection="1">
      <alignment vertical="center"/>
      <protection/>
    </xf>
    <xf numFmtId="0" fontId="4" fillId="47" borderId="0" xfId="86" applyFont="1" applyFill="1" applyBorder="1" applyAlignment="1" applyProtection="1">
      <alignment vertical="center"/>
      <protection/>
    </xf>
    <xf numFmtId="0" fontId="36" fillId="47" borderId="21" xfId="86" applyFont="1" applyFill="1" applyBorder="1" applyAlignment="1" applyProtection="1">
      <alignment vertical="center"/>
      <protection/>
    </xf>
    <xf numFmtId="183" fontId="36" fillId="42" borderId="15" xfId="86" applyNumberFormat="1" applyFont="1" applyFill="1" applyBorder="1" applyAlignment="1" applyProtection="1">
      <alignment horizontal="center" vertical="center"/>
      <protection/>
    </xf>
    <xf numFmtId="187" fontId="8" fillId="44" borderId="11" xfId="86" applyNumberFormat="1" applyFont="1" applyFill="1" applyBorder="1" applyAlignment="1" applyProtection="1">
      <alignment horizontal="center" vertical="center"/>
      <protection locked="0"/>
    </xf>
    <xf numFmtId="0" fontId="8" fillId="42" borderId="21" xfId="86" applyFont="1" applyFill="1" applyBorder="1" applyAlignment="1" applyProtection="1">
      <alignment horizontal="left" vertical="center"/>
      <protection/>
    </xf>
    <xf numFmtId="187" fontId="8" fillId="42" borderId="24" xfId="86" applyNumberFormat="1" applyFont="1" applyFill="1" applyBorder="1" applyAlignment="1" applyProtection="1">
      <alignment horizontal="center" vertical="center"/>
      <protection/>
    </xf>
    <xf numFmtId="0" fontId="8" fillId="42" borderId="0" xfId="86" applyFont="1" applyFill="1" applyBorder="1" applyAlignment="1" applyProtection="1">
      <alignment vertical="center"/>
      <protection/>
    </xf>
    <xf numFmtId="0" fontId="4" fillId="42" borderId="0" xfId="86" applyFont="1" applyFill="1" applyBorder="1" applyAlignment="1" applyProtection="1">
      <alignment vertical="center"/>
      <protection/>
    </xf>
    <xf numFmtId="0" fontId="8" fillId="42" borderId="21" xfId="86" applyFont="1" applyFill="1" applyBorder="1" applyAlignment="1" applyProtection="1">
      <alignment vertical="center"/>
      <protection/>
    </xf>
    <xf numFmtId="3" fontId="5" fillId="33" borderId="11" xfId="86" applyNumberFormat="1" applyFont="1" applyFill="1" applyBorder="1" applyAlignment="1" applyProtection="1">
      <alignment vertical="center"/>
      <protection/>
    </xf>
    <xf numFmtId="3" fontId="5" fillId="33" borderId="23" xfId="86" applyNumberFormat="1" applyFont="1" applyFill="1" applyBorder="1" applyAlignment="1" applyProtection="1">
      <alignment vertical="center"/>
      <protection/>
    </xf>
    <xf numFmtId="37" fontId="5" fillId="33" borderId="23" xfId="86" applyNumberFormat="1" applyFont="1" applyFill="1" applyBorder="1" applyAlignment="1" applyProtection="1">
      <alignment horizontal="left" vertical="center"/>
      <protection/>
    </xf>
    <xf numFmtId="3" fontId="18" fillId="49" borderId="11" xfId="86" applyNumberFormat="1" applyFont="1" applyFill="1" applyBorder="1" applyAlignment="1" applyProtection="1">
      <alignment horizontal="center" vertical="center"/>
      <protection/>
    </xf>
    <xf numFmtId="3" fontId="18" fillId="49" borderId="23" xfId="86" applyNumberFormat="1" applyFont="1" applyFill="1" applyBorder="1" applyAlignment="1" applyProtection="1">
      <alignment horizontal="center" vertical="center"/>
      <protection/>
    </xf>
    <xf numFmtId="3" fontId="4" fillId="35" borderId="23" xfId="86" applyNumberFormat="1" applyFont="1" applyFill="1" applyBorder="1" applyAlignment="1" applyProtection="1">
      <alignment horizontal="right" vertical="center"/>
      <protection locked="0"/>
    </xf>
    <xf numFmtId="37" fontId="4" fillId="35" borderId="23" xfId="86" applyNumberFormat="1" applyFont="1" applyFill="1" applyBorder="1" applyAlignment="1" applyProtection="1">
      <alignment horizontal="left" vertical="center"/>
      <protection locked="0"/>
    </xf>
    <xf numFmtId="0" fontId="4" fillId="35" borderId="11" xfId="86" applyFont="1" applyFill="1" applyBorder="1" applyAlignment="1" applyProtection="1">
      <alignment horizontal="left" vertical="center"/>
      <protection locked="0"/>
    </xf>
    <xf numFmtId="0" fontId="4" fillId="35" borderId="23" xfId="86" applyFont="1" applyFill="1" applyBorder="1" applyAlignment="1" applyProtection="1">
      <alignment horizontal="left" vertical="center"/>
      <protection locked="0"/>
    </xf>
    <xf numFmtId="0" fontId="4" fillId="33" borderId="23" xfId="86" applyFont="1" applyFill="1" applyBorder="1" applyAlignment="1" applyProtection="1">
      <alignment vertical="center"/>
      <protection/>
    </xf>
    <xf numFmtId="3" fontId="4" fillId="35" borderId="11" xfId="86" applyNumberFormat="1" applyFont="1" applyFill="1" applyBorder="1" applyAlignment="1" applyProtection="1">
      <alignment vertical="center"/>
      <protection locked="0"/>
    </xf>
    <xf numFmtId="3" fontId="4" fillId="35" borderId="23" xfId="86" applyNumberFormat="1" applyFont="1" applyFill="1" applyBorder="1" applyAlignment="1" applyProtection="1">
      <alignment vertical="center"/>
      <protection locked="0"/>
    </xf>
    <xf numFmtId="3" fontId="4" fillId="33" borderId="11" xfId="86" applyNumberFormat="1" applyFont="1" applyFill="1" applyBorder="1" applyAlignment="1" applyProtection="1">
      <alignment horizontal="fill" vertical="center"/>
      <protection/>
    </xf>
    <xf numFmtId="37" fontId="4" fillId="35" borderId="23" xfId="86" applyNumberFormat="1" applyFont="1" applyFill="1" applyBorder="1" applyAlignment="1" applyProtection="1">
      <alignment horizontal="right" vertical="center"/>
      <protection locked="0"/>
    </xf>
    <xf numFmtId="37" fontId="4" fillId="33" borderId="23" xfId="86" applyNumberFormat="1" applyFont="1" applyFill="1" applyBorder="1" applyAlignment="1" applyProtection="1">
      <alignment vertical="center"/>
      <protection/>
    </xf>
    <xf numFmtId="3" fontId="4" fillId="33" borderId="11" xfId="86" applyNumberFormat="1" applyFont="1" applyFill="1" applyBorder="1" applyAlignment="1" applyProtection="1">
      <alignment vertical="center"/>
      <protection/>
    </xf>
    <xf numFmtId="3" fontId="4" fillId="33" borderId="23" xfId="86" applyNumberFormat="1" applyFont="1" applyFill="1" applyBorder="1" applyAlignment="1" applyProtection="1">
      <alignment vertical="center"/>
      <protection/>
    </xf>
    <xf numFmtId="37" fontId="4" fillId="35" borderId="23" xfId="86" applyNumberFormat="1" applyFont="1" applyFill="1" applyBorder="1" applyAlignment="1" applyProtection="1">
      <alignment vertical="center"/>
      <protection locked="0"/>
    </xf>
    <xf numFmtId="37" fontId="4" fillId="33" borderId="23" xfId="86" applyNumberFormat="1" applyFont="1" applyFill="1" applyBorder="1" applyAlignment="1" applyProtection="1">
      <alignment horizontal="left" vertical="center"/>
      <protection/>
    </xf>
    <xf numFmtId="1" fontId="4" fillId="33" borderId="13" xfId="86" applyNumberFormat="1" applyFont="1" applyFill="1" applyBorder="1" applyAlignment="1" applyProtection="1">
      <alignment horizontal="center" vertical="center"/>
      <protection/>
    </xf>
    <xf numFmtId="0" fontId="4" fillId="33" borderId="22" xfId="86" applyNumberFormat="1" applyFont="1" applyFill="1" applyBorder="1" applyAlignment="1" applyProtection="1">
      <alignment horizontal="center" vertical="center"/>
      <protection/>
    </xf>
    <xf numFmtId="0" fontId="4" fillId="33" borderId="13" xfId="86" applyNumberFormat="1" applyFont="1" applyFill="1" applyBorder="1" applyAlignment="1" applyProtection="1">
      <alignment horizontal="center" vertical="center"/>
      <protection/>
    </xf>
    <xf numFmtId="37" fontId="5" fillId="33" borderId="14" xfId="86" applyNumberFormat="1" applyFont="1" applyFill="1" applyBorder="1" applyAlignment="1" applyProtection="1">
      <alignment vertical="center"/>
      <protection/>
    </xf>
    <xf numFmtId="37" fontId="4" fillId="33" borderId="12" xfId="86" applyNumberFormat="1" applyFont="1" applyFill="1" applyBorder="1" applyAlignment="1" applyProtection="1">
      <alignment horizontal="center" vertical="center"/>
      <protection/>
    </xf>
    <xf numFmtId="37" fontId="4" fillId="33" borderId="19" xfId="86" applyNumberFormat="1" applyFont="1" applyFill="1" applyBorder="1" applyAlignment="1" applyProtection="1">
      <alignment horizontal="center" vertical="center"/>
      <protection/>
    </xf>
    <xf numFmtId="1" fontId="4" fillId="33" borderId="12" xfId="86" applyNumberFormat="1" applyFont="1" applyFill="1" applyBorder="1" applyAlignment="1" applyProtection="1">
      <alignment horizontal="center" vertical="center"/>
      <protection/>
    </xf>
    <xf numFmtId="37" fontId="4" fillId="33" borderId="0" xfId="86" applyNumberFormat="1" applyFont="1" applyFill="1" applyAlignment="1" applyProtection="1">
      <alignment horizontal="left" vertical="center"/>
      <protection/>
    </xf>
    <xf numFmtId="37" fontId="4" fillId="33" borderId="0" xfId="86" applyNumberFormat="1" applyFont="1" applyFill="1" applyAlignment="1" applyProtection="1" quotePrefix="1">
      <alignment horizontal="right" vertical="center"/>
      <protection/>
    </xf>
    <xf numFmtId="37" fontId="4" fillId="33" borderId="0" xfId="86" applyNumberFormat="1" applyFont="1" applyFill="1" applyAlignment="1" applyProtection="1">
      <alignment horizontal="fill" vertical="center"/>
      <protection/>
    </xf>
    <xf numFmtId="0" fontId="5" fillId="33" borderId="0" xfId="86" applyFont="1" applyFill="1" applyAlignment="1" applyProtection="1">
      <alignment vertical="center"/>
      <protection/>
    </xf>
    <xf numFmtId="37" fontId="4" fillId="33" borderId="0" xfId="86" applyNumberFormat="1" applyFont="1" applyFill="1" applyAlignment="1" applyProtection="1">
      <alignment horizontal="right" vertical="center"/>
      <protection/>
    </xf>
    <xf numFmtId="0" fontId="4" fillId="0" borderId="0" xfId="86" applyFont="1" applyProtection="1">
      <alignment/>
      <protection locked="0"/>
    </xf>
    <xf numFmtId="1" fontId="4" fillId="33" borderId="0" xfId="86" applyNumberFormat="1" applyFont="1" applyFill="1" applyBorder="1" applyAlignment="1" applyProtection="1">
      <alignment horizontal="right" vertical="center"/>
      <protection/>
    </xf>
    <xf numFmtId="0" fontId="4" fillId="33" borderId="0" xfId="86" applyFont="1" applyFill="1" applyAlignment="1" applyProtection="1">
      <alignment vertical="center"/>
      <protection/>
    </xf>
    <xf numFmtId="37" fontId="4" fillId="33" borderId="0" xfId="86" applyNumberFormat="1" applyFont="1" applyFill="1" applyAlignment="1" applyProtection="1">
      <alignment vertical="center"/>
      <protection/>
    </xf>
    <xf numFmtId="0" fontId="27" fillId="0" borderId="0" xfId="69" applyAlignment="1" applyProtection="1">
      <alignment/>
      <protection/>
    </xf>
    <xf numFmtId="0" fontId="0" fillId="42" borderId="0" xfId="89" applyFill="1">
      <alignment/>
      <protection/>
    </xf>
    <xf numFmtId="0" fontId="5" fillId="42" borderId="0" xfId="89" applyFont="1" applyFill="1">
      <alignment/>
      <protection/>
    </xf>
    <xf numFmtId="0" fontId="0" fillId="42" borderId="0" xfId="95" applyFill="1">
      <alignment/>
      <protection/>
    </xf>
    <xf numFmtId="0" fontId="4" fillId="42" borderId="0" xfId="89" applyFont="1" applyFill="1">
      <alignment/>
      <protection/>
    </xf>
    <xf numFmtId="0" fontId="4" fillId="42" borderId="0" xfId="95" applyFont="1" applyFill="1" applyAlignment="1">
      <alignment horizontal="left" vertical="center"/>
      <protection/>
    </xf>
    <xf numFmtId="0" fontId="4" fillId="42" borderId="0" xfId="95" applyFont="1" applyFill="1" applyAlignment="1">
      <alignment horizontal="right" vertical="center"/>
      <protection/>
    </xf>
    <xf numFmtId="0" fontId="92" fillId="47" borderId="0" xfId="95" applyFont="1" applyFill="1" applyAlignment="1">
      <alignment horizontal="center" vertical="center"/>
      <protection/>
    </xf>
    <xf numFmtId="0" fontId="94" fillId="47" borderId="0" xfId="95" applyFont="1" applyFill="1" applyAlignment="1">
      <alignment horizontal="center" vertical="center"/>
      <protection/>
    </xf>
    <xf numFmtId="191" fontId="94" fillId="42" borderId="0" xfId="95" applyNumberFormat="1" applyFont="1" applyFill="1" applyAlignment="1">
      <alignment horizontal="center" vertical="center"/>
      <protection/>
    </xf>
    <xf numFmtId="183" fontId="4" fillId="42" borderId="0" xfId="95" applyNumberFormat="1" applyFont="1" applyFill="1" applyAlignment="1">
      <alignment horizontal="center" vertical="center"/>
      <protection/>
    </xf>
    <xf numFmtId="0" fontId="94" fillId="42" borderId="0" xfId="95" applyFont="1" applyFill="1" applyAlignment="1">
      <alignment horizontal="center" vertical="center"/>
      <protection/>
    </xf>
    <xf numFmtId="0" fontId="94" fillId="47" borderId="0" xfId="95" applyFont="1" applyFill="1" applyAlignment="1">
      <alignment vertical="center"/>
      <protection/>
    </xf>
    <xf numFmtId="187" fontId="4" fillId="42" borderId="0" xfId="95" applyNumberFormat="1" applyFont="1" applyFill="1" applyBorder="1" applyAlignment="1">
      <alignment vertical="center"/>
      <protection/>
    </xf>
    <xf numFmtId="6" fontId="4" fillId="42" borderId="0" xfId="95" applyNumberFormat="1" applyFont="1" applyFill="1" applyBorder="1" applyAlignment="1">
      <alignment vertical="center"/>
      <protection/>
    </xf>
    <xf numFmtId="37" fontId="4" fillId="42" borderId="0" xfId="95" applyNumberFormat="1" applyFont="1" applyFill="1" applyAlignment="1">
      <alignment vertical="center"/>
      <protection/>
    </xf>
    <xf numFmtId="0" fontId="4" fillId="42" borderId="0" xfId="95" applyFont="1" applyFill="1" applyAlignment="1">
      <alignment vertical="center"/>
      <protection/>
    </xf>
    <xf numFmtId="0" fontId="0" fillId="0" borderId="0" xfId="95">
      <alignment/>
      <protection/>
    </xf>
    <xf numFmtId="0" fontId="4" fillId="42" borderId="0" xfId="95" applyFont="1" applyFill="1">
      <alignment/>
      <protection/>
    </xf>
    <xf numFmtId="187" fontId="4" fillId="42" borderId="20" xfId="95" applyNumberFormat="1" applyFont="1" applyFill="1" applyBorder="1" applyAlignment="1">
      <alignment vertical="center"/>
      <protection/>
    </xf>
    <xf numFmtId="187" fontId="4" fillId="42" borderId="0" xfId="95" applyNumberFormat="1" applyFont="1" applyFill="1" applyAlignment="1">
      <alignment vertical="center"/>
      <protection/>
    </xf>
    <xf numFmtId="0" fontId="6" fillId="42" borderId="0" xfId="95" applyFont="1" applyFill="1" applyAlignment="1">
      <alignment horizontal="center" vertical="center"/>
      <protection/>
    </xf>
    <xf numFmtId="0" fontId="4" fillId="42" borderId="0" xfId="95" applyFont="1" applyFill="1" applyAlignment="1">
      <alignment horizontal="center" vertical="center"/>
      <protection/>
    </xf>
    <xf numFmtId="0" fontId="4" fillId="42" borderId="14" xfId="95" applyFont="1" applyFill="1" applyBorder="1" applyAlignment="1">
      <alignment vertical="center"/>
      <protection/>
    </xf>
    <xf numFmtId="37" fontId="4" fillId="0" borderId="0" xfId="89" applyNumberFormat="1" applyFont="1" applyFill="1" applyAlignment="1" applyProtection="1">
      <alignment horizontal="left" vertical="center" wrapText="1"/>
      <protection/>
    </xf>
    <xf numFmtId="0" fontId="4" fillId="0" borderId="0" xfId="564" applyFont="1" applyAlignment="1">
      <alignment vertical="center" wrapText="1"/>
      <protection/>
    </xf>
    <xf numFmtId="0" fontId="4" fillId="0" borderId="0" xfId="88" applyFont="1" applyAlignment="1">
      <alignment vertical="center" wrapText="1"/>
      <protection/>
    </xf>
    <xf numFmtId="0" fontId="4" fillId="0" borderId="0" xfId="0" applyNumberFormat="1" applyFont="1" applyAlignment="1">
      <alignment vertical="center" wrapText="1"/>
    </xf>
    <xf numFmtId="0" fontId="4" fillId="0" borderId="0" xfId="462" applyNumberFormat="1" applyFont="1" applyAlignment="1">
      <alignment vertical="center" wrapText="1"/>
      <protection/>
    </xf>
    <xf numFmtId="0" fontId="4" fillId="0" borderId="0" xfId="327" applyFont="1" applyAlignment="1">
      <alignment vertical="center" wrapText="1"/>
      <protection/>
    </xf>
    <xf numFmtId="0" fontId="4" fillId="0" borderId="0" xfId="522" applyFont="1" applyAlignment="1">
      <alignment vertical="center" wrapText="1"/>
      <protection/>
    </xf>
    <xf numFmtId="0" fontId="4" fillId="0" borderId="0" xfId="183" applyFont="1" applyAlignment="1">
      <alignment vertical="center" wrapText="1"/>
      <protection/>
    </xf>
    <xf numFmtId="0" fontId="4" fillId="0" borderId="0" xfId="89" applyFont="1" applyAlignment="1">
      <alignment vertical="center" wrapText="1"/>
      <protection/>
    </xf>
    <xf numFmtId="0" fontId="69" fillId="32" borderId="0" xfId="440" applyFill="1">
      <alignment/>
      <protection/>
    </xf>
    <xf numFmtId="0" fontId="4" fillId="0" borderId="0" xfId="235" applyFont="1" applyAlignment="1">
      <alignment vertical="center"/>
      <protection/>
    </xf>
    <xf numFmtId="182" fontId="4" fillId="35" borderId="11" xfId="0" applyNumberFormat="1" applyFont="1" applyFill="1" applyBorder="1" applyAlignment="1" applyProtection="1">
      <alignment vertical="center"/>
      <protection locked="0"/>
    </xf>
    <xf numFmtId="49" fontId="4" fillId="35" borderId="11" xfId="537" applyNumberFormat="1" applyFont="1" applyFill="1" applyBorder="1" applyAlignment="1" applyProtection="1">
      <alignment horizontal="left" vertical="center"/>
      <protection locked="0"/>
    </xf>
    <xf numFmtId="0" fontId="4" fillId="35" borderId="23" xfId="537" applyFont="1" applyFill="1" applyBorder="1" applyAlignment="1" applyProtection="1">
      <alignment horizontal="left" vertical="center"/>
      <protection locked="0"/>
    </xf>
    <xf numFmtId="0" fontId="4" fillId="35" borderId="10" xfId="537" applyFont="1" applyFill="1" applyBorder="1" applyAlignment="1" applyProtection="1">
      <alignment horizontal="left" vertical="center"/>
      <protection locked="0"/>
    </xf>
    <xf numFmtId="0" fontId="10" fillId="35" borderId="15" xfId="537" applyFont="1" applyFill="1" applyBorder="1" applyAlignment="1" applyProtection="1">
      <alignment horizontal="left" vertical="center"/>
      <protection locked="0"/>
    </xf>
    <xf numFmtId="3" fontId="4" fillId="33" borderId="0" xfId="86" applyNumberFormat="1" applyFont="1" applyFill="1" applyAlignment="1" applyProtection="1">
      <alignment horizontal="right" vertical="center"/>
      <protection/>
    </xf>
    <xf numFmtId="3" fontId="4" fillId="33" borderId="11" xfId="86" applyNumberFormat="1" applyFont="1" applyFill="1" applyBorder="1" applyAlignment="1" applyProtection="1">
      <alignment horizontal="right" vertical="center"/>
      <protection/>
    </xf>
    <xf numFmtId="0" fontId="4" fillId="33" borderId="0" xfId="86" applyFont="1" applyFill="1" applyAlignment="1" applyProtection="1">
      <alignment horizontal="left" vertical="center"/>
      <protection/>
    </xf>
    <xf numFmtId="3" fontId="4" fillId="33" borderId="12" xfId="0" applyNumberFormat="1" applyFont="1" applyFill="1" applyBorder="1" applyAlignment="1" applyProtection="1">
      <alignment horizontal="right" vertical="center"/>
      <protection/>
    </xf>
    <xf numFmtId="3" fontId="14" fillId="33" borderId="20" xfId="0" applyNumberFormat="1" applyFont="1" applyFill="1" applyBorder="1" applyAlignment="1" applyProtection="1">
      <alignment horizontal="center" vertical="center"/>
      <protection/>
    </xf>
    <xf numFmtId="0" fontId="14" fillId="33" borderId="20" xfId="0" applyFont="1" applyFill="1" applyBorder="1" applyAlignment="1" applyProtection="1">
      <alignment horizontal="center" vertical="center"/>
      <protection/>
    </xf>
    <xf numFmtId="0" fontId="4" fillId="0" borderId="0" xfId="89" applyFont="1" applyAlignment="1">
      <alignment horizontal="left" vertical="center"/>
      <protection/>
    </xf>
    <xf numFmtId="165" fontId="4" fillId="33" borderId="20" xfId="0" applyNumberFormat="1" applyFont="1" applyFill="1" applyBorder="1" applyAlignment="1" applyProtection="1">
      <alignment horizontal="center" vertical="center"/>
      <protection/>
    </xf>
    <xf numFmtId="165" fontId="4" fillId="33" borderId="12" xfId="0" applyNumberFormat="1" applyFont="1" applyFill="1" applyBorder="1" applyAlignment="1" applyProtection="1">
      <alignment horizontal="center" vertical="center"/>
      <protection/>
    </xf>
    <xf numFmtId="0" fontId="4" fillId="33" borderId="0" xfId="0" applyFont="1" applyFill="1" applyBorder="1" applyAlignment="1" applyProtection="1" quotePrefix="1">
      <alignment vertical="center"/>
      <protection/>
    </xf>
    <xf numFmtId="0" fontId="9" fillId="33" borderId="0" xfId="89" applyFont="1" applyFill="1" applyAlignment="1" applyProtection="1">
      <alignment horizontal="center" vertical="center"/>
      <protection/>
    </xf>
    <xf numFmtId="0" fontId="4" fillId="33" borderId="26" xfId="0" applyFont="1" applyFill="1" applyBorder="1" applyAlignment="1" applyProtection="1">
      <alignment vertical="center"/>
      <protection/>
    </xf>
    <xf numFmtId="3" fontId="4" fillId="33" borderId="14" xfId="0" applyNumberFormat="1" applyFont="1" applyFill="1" applyBorder="1" applyAlignment="1" applyProtection="1">
      <alignment vertical="center"/>
      <protection/>
    </xf>
    <xf numFmtId="3" fontId="4" fillId="33" borderId="20" xfId="0" applyNumberFormat="1" applyFont="1" applyFill="1" applyBorder="1" applyAlignment="1" applyProtection="1">
      <alignment vertical="center"/>
      <protection/>
    </xf>
    <xf numFmtId="169" fontId="4" fillId="33" borderId="14" xfId="0" applyNumberFormat="1" applyFont="1" applyFill="1" applyBorder="1" applyAlignment="1" applyProtection="1">
      <alignment vertical="center"/>
      <protection/>
    </xf>
    <xf numFmtId="3" fontId="4" fillId="33" borderId="40" xfId="0" applyNumberFormat="1" applyFont="1" applyFill="1" applyBorder="1" applyAlignment="1" applyProtection="1">
      <alignment vertical="center"/>
      <protection/>
    </xf>
    <xf numFmtId="3" fontId="4" fillId="33" borderId="0" xfId="89" applyNumberFormat="1" applyFont="1" applyFill="1" applyAlignment="1" applyProtection="1">
      <alignment vertical="center"/>
      <protection/>
    </xf>
    <xf numFmtId="3" fontId="4" fillId="33" borderId="14" xfId="89" applyNumberFormat="1" applyFont="1" applyFill="1" applyBorder="1" applyAlignment="1" applyProtection="1">
      <alignment vertical="center"/>
      <protection/>
    </xf>
    <xf numFmtId="3" fontId="4" fillId="33" borderId="0" xfId="89" applyNumberFormat="1" applyFont="1" applyFill="1" applyBorder="1" applyAlignment="1" applyProtection="1">
      <alignment vertical="center"/>
      <protection/>
    </xf>
    <xf numFmtId="0" fontId="4" fillId="33" borderId="0" xfId="89" applyFont="1" applyFill="1" applyAlignment="1" applyProtection="1">
      <alignment horizontal="left" vertical="center"/>
      <protection/>
    </xf>
    <xf numFmtId="0" fontId="4" fillId="42" borderId="0" xfId="89" applyFont="1" applyFill="1" applyAlignment="1" applyProtection="1">
      <alignment vertical="center"/>
      <protection/>
    </xf>
    <xf numFmtId="0" fontId="4" fillId="33" borderId="0" xfId="89" applyFont="1" applyFill="1" applyAlignment="1" applyProtection="1" quotePrefix="1">
      <alignment vertical="center"/>
      <protection/>
    </xf>
    <xf numFmtId="3" fontId="4" fillId="33" borderId="40" xfId="89" applyNumberFormat="1" applyFont="1" applyFill="1" applyBorder="1" applyAlignment="1" applyProtection="1">
      <alignment vertical="center"/>
      <protection/>
    </xf>
    <xf numFmtId="0" fontId="4" fillId="33" borderId="0" xfId="89" applyFont="1" applyFill="1" applyAlignment="1" applyProtection="1" quotePrefix="1">
      <alignment horizontal="left" vertical="center"/>
      <protection/>
    </xf>
    <xf numFmtId="10" fontId="4" fillId="33" borderId="0" xfId="89" applyNumberFormat="1" applyFont="1" applyFill="1" applyBorder="1" applyAlignment="1" applyProtection="1">
      <alignment vertical="center"/>
      <protection/>
    </xf>
    <xf numFmtId="0" fontId="9" fillId="33" borderId="0" xfId="89" applyFont="1" applyFill="1" applyAlignment="1" applyProtection="1">
      <alignment horizontal="left" vertical="center"/>
      <protection/>
    </xf>
    <xf numFmtId="0" fontId="4" fillId="33" borderId="20" xfId="0" applyFont="1" applyFill="1" applyBorder="1" applyAlignment="1" applyProtection="1">
      <alignment horizontal="left" vertical="center"/>
      <protection/>
    </xf>
    <xf numFmtId="0" fontId="4" fillId="33" borderId="19" xfId="0" applyFont="1" applyFill="1" applyBorder="1" applyAlignment="1" applyProtection="1">
      <alignment horizontal="left" vertical="center"/>
      <protection/>
    </xf>
    <xf numFmtId="0" fontId="0" fillId="0" borderId="0" xfId="89">
      <alignment/>
      <protection/>
    </xf>
    <xf numFmtId="0" fontId="69" fillId="46" borderId="0" xfId="441" applyFill="1" applyBorder="1">
      <alignment/>
      <protection/>
    </xf>
    <xf numFmtId="0" fontId="69" fillId="46" borderId="0" xfId="441" applyFill="1" applyBorder="1" applyAlignment="1">
      <alignment horizontal="left" vertical="center"/>
      <protection/>
    </xf>
    <xf numFmtId="0" fontId="69" fillId="46" borderId="0" xfId="441" applyFill="1" applyBorder="1" applyAlignment="1">
      <alignment horizontal="center" vertical="center"/>
      <protection/>
    </xf>
    <xf numFmtId="0" fontId="44" fillId="0" borderId="0" xfId="89" applyFont="1">
      <alignment/>
      <protection/>
    </xf>
    <xf numFmtId="0" fontId="69" fillId="46" borderId="0" xfId="441" applyFill="1">
      <alignment/>
      <protection/>
    </xf>
    <xf numFmtId="0" fontId="84" fillId="46" borderId="0" xfId="441" applyFont="1" applyFill="1" applyBorder="1">
      <alignment/>
      <protection/>
    </xf>
    <xf numFmtId="0" fontId="84" fillId="46" borderId="31" xfId="441" applyFont="1" applyFill="1" applyBorder="1">
      <alignment/>
      <protection/>
    </xf>
    <xf numFmtId="0" fontId="84" fillId="46" borderId="35" xfId="441" applyFont="1" applyFill="1" applyBorder="1">
      <alignment/>
      <protection/>
    </xf>
    <xf numFmtId="0" fontId="84" fillId="46" borderId="32" xfId="441" applyFont="1" applyFill="1" applyBorder="1">
      <alignment/>
      <protection/>
    </xf>
    <xf numFmtId="0" fontId="84" fillId="46" borderId="33" xfId="441" applyFont="1" applyFill="1" applyBorder="1">
      <alignment/>
      <protection/>
    </xf>
    <xf numFmtId="0" fontId="84" fillId="46" borderId="0" xfId="441" applyFont="1" applyFill="1" applyBorder="1" applyAlignment="1">
      <alignment horizontal="center"/>
      <protection/>
    </xf>
    <xf numFmtId="0" fontId="84" fillId="46" borderId="0" xfId="441" applyFont="1" applyFill="1" applyBorder="1" applyAlignment="1">
      <alignment horizontal="right"/>
      <protection/>
    </xf>
    <xf numFmtId="0" fontId="84" fillId="46" borderId="34" xfId="441" applyFont="1" applyFill="1" applyBorder="1">
      <alignment/>
      <protection/>
    </xf>
    <xf numFmtId="3" fontId="84" fillId="46" borderId="14" xfId="441" applyNumberFormat="1" applyFont="1" applyFill="1" applyBorder="1">
      <alignment/>
      <protection/>
    </xf>
    <xf numFmtId="3" fontId="84" fillId="46" borderId="10" xfId="441" applyNumberFormat="1" applyFont="1" applyFill="1" applyBorder="1">
      <alignment/>
      <protection/>
    </xf>
    <xf numFmtId="0" fontId="84" fillId="46" borderId="14" xfId="441" applyFont="1" applyFill="1" applyBorder="1" applyAlignment="1" applyProtection="1">
      <alignment horizontal="center"/>
      <protection locked="0"/>
    </xf>
    <xf numFmtId="0" fontId="84" fillId="46" borderId="41" xfId="441" applyFont="1" applyFill="1" applyBorder="1" applyAlignment="1" applyProtection="1">
      <alignment horizontal="center"/>
      <protection locked="0"/>
    </xf>
    <xf numFmtId="0" fontId="4" fillId="0" borderId="0" xfId="89" applyFont="1" applyAlignment="1">
      <alignment vertical="center"/>
      <protection/>
    </xf>
    <xf numFmtId="188" fontId="29" fillId="42" borderId="0" xfId="0" applyNumberFormat="1" applyFont="1" applyFill="1" applyBorder="1" applyAlignment="1">
      <alignment horizontal="center"/>
    </xf>
    <xf numFmtId="0" fontId="5" fillId="36" borderId="19" xfId="0" applyFont="1" applyFill="1" applyBorder="1" applyAlignment="1" applyProtection="1">
      <alignment vertical="center"/>
      <protection/>
    </xf>
    <xf numFmtId="0" fontId="4" fillId="36" borderId="26" xfId="0" applyFont="1" applyFill="1" applyBorder="1" applyAlignment="1" applyProtection="1">
      <alignment vertical="center"/>
      <protection/>
    </xf>
    <xf numFmtId="37" fontId="5" fillId="50" borderId="21" xfId="0" applyNumberFormat="1" applyFont="1" applyFill="1" applyBorder="1" applyAlignment="1" applyProtection="1">
      <alignment horizontal="left" vertical="center"/>
      <protection/>
    </xf>
    <xf numFmtId="0" fontId="4" fillId="50" borderId="24" xfId="0" applyFont="1" applyFill="1" applyBorder="1" applyAlignment="1" applyProtection="1">
      <alignment vertical="center"/>
      <protection/>
    </xf>
    <xf numFmtId="37" fontId="5" fillId="50" borderId="22" xfId="0" applyNumberFormat="1" applyFont="1" applyFill="1" applyBorder="1" applyAlignment="1" applyProtection="1">
      <alignment horizontal="left" vertical="center"/>
      <protection/>
    </xf>
    <xf numFmtId="0" fontId="4" fillId="50" borderId="17" xfId="0" applyFont="1" applyFill="1" applyBorder="1" applyAlignment="1" applyProtection="1">
      <alignment vertical="center"/>
      <protection/>
    </xf>
    <xf numFmtId="188" fontId="29" fillId="42" borderId="0" xfId="0" applyNumberFormat="1" applyFont="1" applyFill="1" applyAlignment="1">
      <alignment/>
    </xf>
    <xf numFmtId="188" fontId="29" fillId="42" borderId="14" xfId="0" applyNumberFormat="1" applyFont="1" applyFill="1" applyBorder="1" applyAlignment="1">
      <alignment horizontal="center"/>
    </xf>
    <xf numFmtId="188" fontId="29" fillId="42" borderId="0" xfId="0" applyNumberFormat="1" applyFont="1" applyFill="1" applyAlignment="1">
      <alignment horizontal="center"/>
    </xf>
    <xf numFmtId="165" fontId="4" fillId="35" borderId="0" xfId="0" applyNumberFormat="1" applyFont="1" applyFill="1" applyAlignment="1" applyProtection="1">
      <alignment horizontal="center" vertical="center"/>
      <protection locked="0"/>
    </xf>
    <xf numFmtId="0" fontId="4" fillId="35" borderId="0" xfId="0" applyFont="1" applyFill="1" applyAlignment="1" applyProtection="1">
      <alignment horizontal="center" vertical="center"/>
      <protection locked="0"/>
    </xf>
    <xf numFmtId="37" fontId="4" fillId="35" borderId="0" xfId="86" applyNumberFormat="1" applyFont="1" applyFill="1" applyAlignment="1" applyProtection="1">
      <alignment horizontal="center" vertical="center"/>
      <protection locked="0"/>
    </xf>
    <xf numFmtId="0" fontId="12" fillId="32" borderId="0" xfId="68" applyFill="1" applyAlignment="1" applyProtection="1">
      <alignment/>
      <protection/>
    </xf>
    <xf numFmtId="190" fontId="4" fillId="39" borderId="11" xfId="0" applyNumberFormat="1" applyFont="1" applyFill="1" applyBorder="1" applyAlignment="1" applyProtection="1">
      <alignment vertical="center"/>
      <protection/>
    </xf>
    <xf numFmtId="0" fontId="4" fillId="36" borderId="15" xfId="0" applyFont="1" applyFill="1" applyBorder="1" applyAlignment="1" applyProtection="1">
      <alignment vertical="center"/>
      <protection/>
    </xf>
    <xf numFmtId="0" fontId="4" fillId="36" borderId="23" xfId="0" applyFont="1" applyFill="1" applyBorder="1" applyAlignment="1" applyProtection="1">
      <alignment vertical="center"/>
      <protection/>
    </xf>
    <xf numFmtId="0" fontId="4" fillId="36" borderId="22" xfId="0" applyFont="1" applyFill="1" applyBorder="1" applyAlignment="1" applyProtection="1">
      <alignment vertical="center"/>
      <protection/>
    </xf>
    <xf numFmtId="0" fontId="4" fillId="36" borderId="19" xfId="0" applyFont="1" applyFill="1" applyBorder="1" applyAlignment="1" applyProtection="1">
      <alignment vertical="center"/>
      <protection/>
    </xf>
    <xf numFmtId="0" fontId="4" fillId="36" borderId="17" xfId="0" applyFont="1" applyFill="1" applyBorder="1" applyAlignment="1" applyProtection="1">
      <alignment vertical="center"/>
      <protection/>
    </xf>
    <xf numFmtId="37" fontId="4" fillId="36" borderId="22" xfId="0" applyNumberFormat="1" applyFont="1" applyFill="1" applyBorder="1" applyAlignment="1" applyProtection="1">
      <alignment horizontal="left" vertical="center"/>
      <protection/>
    </xf>
    <xf numFmtId="37" fontId="4" fillId="36" borderId="19" xfId="0" applyNumberFormat="1" applyFont="1" applyFill="1" applyBorder="1" applyAlignment="1" applyProtection="1">
      <alignment horizontal="left" vertical="center"/>
      <protection/>
    </xf>
    <xf numFmtId="0" fontId="4" fillId="33" borderId="13" xfId="0" applyFont="1" applyFill="1" applyBorder="1" applyAlignment="1" applyProtection="1">
      <alignment vertical="center"/>
      <protection/>
    </xf>
    <xf numFmtId="188" fontId="4" fillId="47" borderId="17" xfId="0" applyNumberFormat="1" applyFont="1" applyFill="1" applyBorder="1" applyAlignment="1" applyProtection="1">
      <alignment horizontal="center"/>
      <protection/>
    </xf>
    <xf numFmtId="0" fontId="4" fillId="35" borderId="11" xfId="89" applyFont="1" applyFill="1" applyBorder="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4" fillId="33" borderId="0" xfId="89" applyFont="1" applyFill="1" applyBorder="1" applyAlignment="1" applyProtection="1">
      <alignment horizontal="left" vertical="center"/>
      <protection locked="0"/>
    </xf>
    <xf numFmtId="0" fontId="4" fillId="35" borderId="11" xfId="89" applyFont="1" applyFill="1" applyBorder="1" applyAlignment="1" applyProtection="1">
      <alignment vertical="center"/>
      <protection locked="0"/>
    </xf>
    <xf numFmtId="0" fontId="4" fillId="35" borderId="13" xfId="89" applyFont="1" applyFill="1" applyBorder="1" applyAlignment="1" applyProtection="1">
      <alignment horizontal="left" vertical="center"/>
      <protection locked="0"/>
    </xf>
    <xf numFmtId="37" fontId="5" fillId="33" borderId="0" xfId="0" applyNumberFormat="1" applyFont="1" applyFill="1" applyBorder="1" applyAlignment="1" applyProtection="1">
      <alignment horizontal="center" vertical="center"/>
      <protection/>
    </xf>
    <xf numFmtId="0" fontId="4" fillId="33" borderId="11" xfId="0" applyFont="1" applyFill="1" applyBorder="1" applyAlignment="1" applyProtection="1">
      <alignment horizontal="center" vertical="top" wrapText="1"/>
      <protection/>
    </xf>
    <xf numFmtId="166" fontId="4" fillId="42" borderId="14" xfId="0" applyNumberFormat="1" applyFont="1" applyFill="1" applyBorder="1" applyAlignment="1" applyProtection="1">
      <alignment vertical="center"/>
      <protection/>
    </xf>
    <xf numFmtId="0" fontId="4" fillId="42" borderId="0" xfId="0" applyFont="1" applyFill="1" applyAlignment="1" applyProtection="1">
      <alignment vertical="center"/>
      <protection/>
    </xf>
    <xf numFmtId="166" fontId="4" fillId="42" borderId="0" xfId="0" applyNumberFormat="1" applyFont="1" applyFill="1" applyBorder="1" applyAlignment="1" applyProtection="1">
      <alignment vertical="center"/>
      <protection/>
    </xf>
    <xf numFmtId="0" fontId="4" fillId="42" borderId="0" xfId="0" applyFont="1" applyFill="1" applyAlignment="1" applyProtection="1">
      <alignment horizontal="right" vertical="center"/>
      <protection/>
    </xf>
    <xf numFmtId="168" fontId="4" fillId="42" borderId="14" xfId="0" applyNumberFormat="1" applyFont="1" applyFill="1" applyBorder="1" applyAlignment="1" applyProtection="1">
      <alignment vertical="center"/>
      <protection/>
    </xf>
    <xf numFmtId="0" fontId="4" fillId="42" borderId="0" xfId="0" applyFont="1" applyFill="1" applyAlignment="1" applyProtection="1">
      <alignment horizontal="left" vertical="center"/>
      <protection/>
    </xf>
    <xf numFmtId="168" fontId="4" fillId="42" borderId="0" xfId="0" applyNumberFormat="1" applyFont="1" applyFill="1" applyBorder="1" applyAlignment="1" applyProtection="1">
      <alignment vertical="center"/>
      <protection/>
    </xf>
    <xf numFmtId="168" fontId="4" fillId="42" borderId="0" xfId="89" applyNumberFormat="1" applyFont="1" applyFill="1" applyBorder="1" applyAlignment="1" applyProtection="1">
      <alignment vertical="center"/>
      <protection/>
    </xf>
    <xf numFmtId="0" fontId="4" fillId="33" borderId="0" xfId="89" applyFont="1" applyFill="1" applyAlignment="1" applyProtection="1">
      <alignment vertical="center"/>
      <protection locked="0"/>
    </xf>
    <xf numFmtId="37" fontId="4" fillId="33" borderId="13" xfId="89" applyNumberFormat="1" applyFont="1" applyFill="1" applyBorder="1" applyAlignment="1" applyProtection="1">
      <alignment horizontal="center" vertical="center"/>
      <protection/>
    </xf>
    <xf numFmtId="0" fontId="4" fillId="42" borderId="0" xfId="89" applyFont="1" applyFill="1" applyAlignment="1" applyProtection="1">
      <alignment vertical="center"/>
      <protection/>
    </xf>
    <xf numFmtId="37" fontId="4" fillId="33" borderId="0" xfId="89" applyNumberFormat="1" applyFont="1" applyFill="1" applyAlignment="1" applyProtection="1">
      <alignment horizontal="left" vertical="center"/>
      <protection/>
    </xf>
    <xf numFmtId="0" fontId="4" fillId="33" borderId="23" xfId="0" applyNumberFormat="1" applyFont="1" applyFill="1" applyBorder="1" applyAlignment="1" applyProtection="1">
      <alignment horizontal="left" vertical="center"/>
      <protection/>
    </xf>
    <xf numFmtId="0" fontId="84" fillId="46" borderId="35" xfId="441" applyFont="1" applyFill="1" applyBorder="1" applyAlignment="1">
      <alignment horizontal="center"/>
      <protection/>
    </xf>
    <xf numFmtId="0" fontId="84" fillId="46" borderId="0" xfId="441" applyFont="1" applyFill="1" applyBorder="1" applyAlignment="1">
      <alignment horizontal="center"/>
      <protection/>
    </xf>
    <xf numFmtId="0" fontId="84" fillId="46" borderId="31" xfId="441" applyFont="1" applyFill="1" applyBorder="1" applyAlignment="1">
      <alignment horizontal="center"/>
      <protection/>
    </xf>
    <xf numFmtId="0" fontId="37" fillId="39" borderId="15" xfId="0" applyFont="1" applyFill="1" applyBorder="1" applyAlignment="1" applyProtection="1">
      <alignment horizontal="center" vertical="center"/>
      <protection/>
    </xf>
    <xf numFmtId="0" fontId="36" fillId="42" borderId="19" xfId="234" applyFont="1" applyFill="1" applyBorder="1" applyAlignment="1">
      <alignment horizontal="left" vertical="center"/>
      <protection/>
    </xf>
    <xf numFmtId="0" fontId="5" fillId="42" borderId="20" xfId="0" applyFont="1" applyFill="1" applyBorder="1" applyAlignment="1">
      <alignment horizontal="centerContinuous" vertical="center"/>
    </xf>
    <xf numFmtId="0" fontId="95" fillId="42" borderId="26" xfId="0" applyFont="1" applyFill="1" applyBorder="1" applyAlignment="1">
      <alignment horizontal="center" vertical="center"/>
    </xf>
    <xf numFmtId="0" fontId="4" fillId="42" borderId="20" xfId="0" applyFont="1" applyFill="1" applyBorder="1" applyAlignment="1">
      <alignment vertical="center"/>
    </xf>
    <xf numFmtId="0" fontId="8" fillId="42" borderId="21" xfId="0" applyFont="1" applyFill="1" applyBorder="1" applyAlignment="1">
      <alignment horizontal="left" vertical="center"/>
    </xf>
    <xf numFmtId="0" fontId="8" fillId="42" borderId="0" xfId="0" applyFont="1" applyFill="1" applyBorder="1" applyAlignment="1">
      <alignment vertical="center"/>
    </xf>
    <xf numFmtId="3" fontId="8" fillId="42" borderId="24" xfId="0" applyNumberFormat="1" applyFont="1" applyFill="1" applyBorder="1" applyAlignment="1">
      <alignment vertical="center"/>
    </xf>
    <xf numFmtId="0" fontId="8" fillId="42" borderId="22" xfId="0" applyFont="1" applyFill="1" applyBorder="1" applyAlignment="1">
      <alignment horizontal="left" vertical="center"/>
    </xf>
    <xf numFmtId="0" fontId="8" fillId="42" borderId="14" xfId="0" applyFont="1" applyFill="1" applyBorder="1" applyAlignment="1">
      <alignment vertical="center"/>
    </xf>
    <xf numFmtId="3" fontId="8" fillId="42" borderId="17" xfId="0" applyNumberFormat="1" applyFont="1" applyFill="1" applyBorder="1" applyAlignment="1">
      <alignment vertical="center"/>
    </xf>
    <xf numFmtId="0" fontId="4" fillId="42" borderId="20" xfId="86" applyFont="1" applyFill="1" applyBorder="1" applyProtection="1">
      <alignment/>
      <protection locked="0"/>
    </xf>
    <xf numFmtId="0" fontId="8" fillId="42" borderId="21" xfId="86" applyFont="1" applyFill="1" applyBorder="1" applyAlignment="1" applyProtection="1">
      <alignment horizontal="left"/>
      <protection locked="0"/>
    </xf>
    <xf numFmtId="0" fontId="8" fillId="42" borderId="0" xfId="86" applyFont="1" applyFill="1" applyBorder="1" applyProtection="1">
      <alignment/>
      <protection locked="0"/>
    </xf>
    <xf numFmtId="3" fontId="8" fillId="42" borderId="24" xfId="86" applyNumberFormat="1" applyFont="1" applyFill="1" applyBorder="1" applyProtection="1">
      <alignment/>
      <protection locked="0"/>
    </xf>
    <xf numFmtId="0" fontId="8" fillId="42" borderId="22" xfId="86" applyFont="1" applyFill="1" applyBorder="1" applyAlignment="1" applyProtection="1">
      <alignment horizontal="left"/>
      <protection locked="0"/>
    </xf>
    <xf numFmtId="0" fontId="8" fillId="42" borderId="14" xfId="86" applyFont="1" applyFill="1" applyBorder="1" applyProtection="1">
      <alignment/>
      <protection locked="0"/>
    </xf>
    <xf numFmtId="3" fontId="8" fillId="42" borderId="17" xfId="86" applyNumberFormat="1" applyFont="1" applyFill="1" applyBorder="1" applyProtection="1">
      <alignment/>
      <protection locked="0"/>
    </xf>
    <xf numFmtId="3" fontId="84" fillId="46" borderId="0" xfId="441" applyNumberFormat="1" applyFont="1" applyFill="1" applyBorder="1">
      <alignment/>
      <protection/>
    </xf>
    <xf numFmtId="0" fontId="84" fillId="46" borderId="0" xfId="441" applyFont="1" applyFill="1" applyBorder="1" applyAlignment="1" applyProtection="1">
      <alignment horizontal="center"/>
      <protection locked="0"/>
    </xf>
    <xf numFmtId="0" fontId="84" fillId="46" borderId="31" xfId="441" applyFont="1" applyFill="1" applyBorder="1" applyAlignment="1" applyProtection="1">
      <alignment horizontal="center"/>
      <protection locked="0"/>
    </xf>
    <xf numFmtId="0" fontId="45" fillId="0" borderId="0" xfId="0" applyFont="1" applyAlignment="1">
      <alignment/>
    </xf>
    <xf numFmtId="0" fontId="47" fillId="0" borderId="0" xfId="0" applyFont="1" applyAlignment="1">
      <alignment horizontal="left"/>
    </xf>
    <xf numFmtId="0" fontId="45" fillId="0" borderId="0" xfId="0" applyFont="1" applyAlignment="1">
      <alignment horizontal="center" vertical="center"/>
    </xf>
    <xf numFmtId="0" fontId="96" fillId="46" borderId="0" xfId="441" applyFont="1" applyFill="1" applyBorder="1" applyAlignment="1">
      <alignment horizontal="center"/>
      <protection/>
    </xf>
    <xf numFmtId="0" fontId="84" fillId="46" borderId="32" xfId="441" applyFont="1" applyFill="1" applyBorder="1">
      <alignment/>
      <protection/>
    </xf>
    <xf numFmtId="182" fontId="84" fillId="46" borderId="0" xfId="441" applyNumberFormat="1" applyFont="1" applyFill="1" applyBorder="1">
      <alignment/>
      <protection/>
    </xf>
    <xf numFmtId="0" fontId="96" fillId="46" borderId="0" xfId="441" applyFont="1" applyFill="1" applyBorder="1" applyAlignment="1">
      <alignment horizontal="center"/>
      <protection/>
    </xf>
    <xf numFmtId="0" fontId="46" fillId="0" borderId="0" xfId="0" applyFont="1" applyAlignment="1">
      <alignment horizontal="center" vertical="center" wrapText="1"/>
    </xf>
    <xf numFmtId="0" fontId="45" fillId="0" borderId="0" xfId="0" applyFont="1" applyAlignment="1">
      <alignment horizontal="left" vertical="center" wrapText="1"/>
    </xf>
    <xf numFmtId="0" fontId="45" fillId="0" borderId="0" xfId="0" applyFont="1" applyAlignment="1">
      <alignment horizontal="right" vertical="center" wrapText="1"/>
    </xf>
    <xf numFmtId="0" fontId="45" fillId="0" borderId="0" xfId="89" applyFont="1" applyAlignment="1">
      <alignment horizontal="right" vertical="center" wrapText="1"/>
      <protection/>
    </xf>
    <xf numFmtId="0" fontId="4" fillId="47" borderId="14" xfId="86" applyFont="1" applyFill="1" applyBorder="1" applyAlignment="1" applyProtection="1">
      <alignment vertical="center"/>
      <protection/>
    </xf>
    <xf numFmtId="0" fontId="4" fillId="42" borderId="0" xfId="86" applyFont="1" applyFill="1" applyBorder="1" applyProtection="1">
      <alignment/>
      <protection locked="0"/>
    </xf>
    <xf numFmtId="0" fontId="93" fillId="0" borderId="21" xfId="86" applyFont="1" applyBorder="1" applyProtection="1">
      <alignment/>
      <protection locked="0"/>
    </xf>
    <xf numFmtId="0" fontId="4" fillId="0" borderId="21" xfId="86" applyFont="1" applyBorder="1" applyProtection="1">
      <alignment/>
      <protection locked="0"/>
    </xf>
    <xf numFmtId="0" fontId="4" fillId="0" borderId="21" xfId="0" applyFont="1" applyBorder="1" applyAlignment="1" applyProtection="1">
      <alignment vertical="center"/>
      <protection locked="0"/>
    </xf>
    <xf numFmtId="0" fontId="4" fillId="42" borderId="0" xfId="0" applyFont="1" applyFill="1" applyBorder="1" applyAlignment="1" applyProtection="1">
      <alignment vertical="center"/>
      <protection/>
    </xf>
    <xf numFmtId="0" fontId="8" fillId="42" borderId="0" xfId="0" applyFont="1" applyFill="1" applyBorder="1" applyAlignment="1" applyProtection="1">
      <alignment vertical="center"/>
      <protection/>
    </xf>
    <xf numFmtId="37" fontId="4" fillId="36" borderId="12" xfId="0" applyNumberFormat="1" applyFont="1" applyFill="1" applyBorder="1" applyAlignment="1" applyProtection="1">
      <alignment horizontal="center" vertical="center" wrapText="1"/>
      <protection/>
    </xf>
    <xf numFmtId="0" fontId="0" fillId="36" borderId="13" xfId="0" applyFill="1" applyBorder="1" applyAlignment="1">
      <alignment vertical="center" wrapText="1"/>
    </xf>
    <xf numFmtId="37" fontId="14" fillId="33" borderId="0" xfId="0" applyNumberFormat="1" applyFont="1" applyFill="1" applyAlignment="1" applyProtection="1">
      <alignment horizontal="center" vertical="center"/>
      <protection/>
    </xf>
    <xf numFmtId="0" fontId="15" fillId="0" borderId="0" xfId="0" applyFont="1" applyAlignment="1">
      <alignment horizontal="center" vertical="center"/>
    </xf>
    <xf numFmtId="0" fontId="17" fillId="33"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3" xfId="0" applyFont="1" applyFill="1" applyBorder="1" applyAlignment="1" applyProtection="1">
      <alignment horizontal="center" vertical="center" wrapText="1"/>
      <protection/>
    </xf>
    <xf numFmtId="37" fontId="5" fillId="33" borderId="0" xfId="0" applyNumberFormat="1" applyFont="1" applyFill="1" applyAlignment="1" applyProtection="1">
      <alignment vertical="center" wrapText="1"/>
      <protection/>
    </xf>
    <xf numFmtId="0" fontId="0" fillId="0" borderId="0" xfId="0" applyAlignment="1">
      <alignment vertical="center" wrapText="1"/>
    </xf>
    <xf numFmtId="0" fontId="4" fillId="33" borderId="19" xfId="89" applyFont="1" applyFill="1" applyBorder="1" applyAlignment="1" applyProtection="1">
      <alignment vertical="center" wrapText="1"/>
      <protection/>
    </xf>
    <xf numFmtId="0" fontId="0" fillId="0" borderId="26" xfId="89" applyBorder="1" applyAlignment="1">
      <alignment vertical="center" wrapText="1"/>
      <protection/>
    </xf>
    <xf numFmtId="0" fontId="0" fillId="0" borderId="21" xfId="89" applyBorder="1" applyAlignment="1">
      <alignment vertical="center" wrapText="1"/>
      <protection/>
    </xf>
    <xf numFmtId="0" fontId="0" fillId="0" borderId="24" xfId="89" applyBorder="1" applyAlignment="1">
      <alignment vertical="center" wrapText="1"/>
      <protection/>
    </xf>
    <xf numFmtId="0" fontId="0" fillId="0" borderId="22" xfId="89" applyBorder="1" applyAlignment="1">
      <alignment vertical="center" wrapText="1"/>
      <protection/>
    </xf>
    <xf numFmtId="0" fontId="0" fillId="0" borderId="17" xfId="89" applyBorder="1" applyAlignment="1">
      <alignment vertical="center" wrapText="1"/>
      <protection/>
    </xf>
    <xf numFmtId="0" fontId="0" fillId="0" borderId="0" xfId="0" applyAlignment="1">
      <alignment vertical="center"/>
    </xf>
    <xf numFmtId="0" fontId="4" fillId="36" borderId="12" xfId="0" applyFont="1" applyFill="1" applyBorder="1" applyAlignment="1">
      <alignment horizontal="center" vertical="center" wrapText="1"/>
    </xf>
    <xf numFmtId="0" fontId="4" fillId="36" borderId="25" xfId="0" applyFont="1" applyFill="1" applyBorder="1" applyAlignment="1">
      <alignment vertical="center" wrapText="1"/>
    </xf>
    <xf numFmtId="0" fontId="4" fillId="36" borderId="13" xfId="0" applyFont="1" applyFill="1" applyBorder="1" applyAlignment="1">
      <alignment vertical="center" wrapText="1"/>
    </xf>
    <xf numFmtId="0" fontId="21" fillId="36" borderId="12" xfId="0" applyFont="1" applyFill="1" applyBorder="1" applyAlignment="1">
      <alignment horizontal="center" vertical="center" wrapText="1"/>
    </xf>
    <xf numFmtId="0" fontId="21" fillId="36" borderId="25" xfId="0" applyFont="1" applyFill="1" applyBorder="1" applyAlignment="1">
      <alignment vertical="center" wrapText="1"/>
    </xf>
    <xf numFmtId="0" fontId="21" fillId="36" borderId="13" xfId="0" applyFont="1" applyFill="1" applyBorder="1" applyAlignment="1">
      <alignment vertical="center" wrapText="1"/>
    </xf>
    <xf numFmtId="0" fontId="5" fillId="34" borderId="23" xfId="0"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5" xfId="0" applyBorder="1" applyAlignment="1">
      <alignment vertical="center"/>
    </xf>
    <xf numFmtId="37" fontId="5" fillId="36" borderId="22" xfId="0" applyNumberFormat="1" applyFont="1" applyFill="1" applyBorder="1" applyAlignment="1" applyProtection="1">
      <alignment horizontal="center" vertical="center"/>
      <protection/>
    </xf>
    <xf numFmtId="0" fontId="0" fillId="0" borderId="14" xfId="0" applyBorder="1" applyAlignment="1">
      <alignment horizontal="center" vertical="center"/>
    </xf>
    <xf numFmtId="0" fontId="0" fillId="0" borderId="17" xfId="0" applyBorder="1" applyAlignment="1">
      <alignment horizontal="center" vertical="center"/>
    </xf>
    <xf numFmtId="0" fontId="4" fillId="34" borderId="12" xfId="0" applyFont="1" applyFill="1" applyBorder="1" applyAlignment="1">
      <alignment horizontal="center" vertical="center" wrapText="1"/>
    </xf>
    <xf numFmtId="0" fontId="0" fillId="34" borderId="25" xfId="0" applyFill="1" applyBorder="1" applyAlignment="1">
      <alignment horizontal="center" vertical="center" wrapText="1"/>
    </xf>
    <xf numFmtId="0" fontId="0" fillId="34" borderId="13" xfId="0" applyFill="1" applyBorder="1" applyAlignment="1">
      <alignment horizontal="center" vertical="center" wrapText="1"/>
    </xf>
    <xf numFmtId="37" fontId="4" fillId="33" borderId="23" xfId="0" applyNumberFormat="1" applyFont="1" applyFill="1" applyBorder="1" applyAlignment="1">
      <alignment vertical="center"/>
    </xf>
    <xf numFmtId="0" fontId="4" fillId="34" borderId="21" xfId="0" applyFont="1" applyFill="1" applyBorder="1" applyAlignment="1">
      <alignment horizontal="center" vertical="center" wrapText="1"/>
    </xf>
    <xf numFmtId="0" fontId="0" fillId="0" borderId="24" xfId="0" applyBorder="1" applyAlignment="1">
      <alignment vertical="center" wrapText="1"/>
    </xf>
    <xf numFmtId="0" fontId="0" fillId="0" borderId="22" xfId="0" applyBorder="1" applyAlignment="1">
      <alignment vertical="center" wrapText="1"/>
    </xf>
    <xf numFmtId="0" fontId="0" fillId="0" borderId="17" xfId="0" applyBorder="1" applyAlignment="1">
      <alignment vertical="center" wrapText="1"/>
    </xf>
    <xf numFmtId="0" fontId="0" fillId="0" borderId="10" xfId="0" applyBorder="1" applyAlignment="1">
      <alignment vertical="center"/>
    </xf>
    <xf numFmtId="0" fontId="4" fillId="34" borderId="21" xfId="0" applyFont="1" applyFill="1" applyBorder="1" applyAlignment="1">
      <alignment horizontal="center" vertical="center"/>
    </xf>
    <xf numFmtId="0" fontId="0" fillId="0" borderId="24" xfId="0" applyBorder="1" applyAlignment="1">
      <alignment vertical="center"/>
    </xf>
    <xf numFmtId="0" fontId="0" fillId="0" borderId="22" xfId="0" applyBorder="1" applyAlignment="1">
      <alignment vertical="center"/>
    </xf>
    <xf numFmtId="0" fontId="0" fillId="0" borderId="17" xfId="0" applyBorder="1" applyAlignment="1">
      <alignment vertical="center"/>
    </xf>
    <xf numFmtId="37" fontId="17" fillId="33" borderId="21" xfId="0" applyNumberFormat="1" applyFont="1" applyFill="1" applyBorder="1" applyAlignment="1" applyProtection="1">
      <alignment horizontal="center" vertical="center"/>
      <protection/>
    </xf>
    <xf numFmtId="0" fontId="0" fillId="0" borderId="0" xfId="0" applyBorder="1" applyAlignment="1">
      <alignment horizontal="center" vertical="center"/>
    </xf>
    <xf numFmtId="37" fontId="5" fillId="36" borderId="23" xfId="0" applyNumberFormat="1" applyFont="1" applyFill="1" applyBorder="1" applyAlignment="1" applyProtection="1">
      <alignment horizontal="center" vertical="center"/>
      <protection/>
    </xf>
    <xf numFmtId="0" fontId="0" fillId="0" borderId="20" xfId="0" applyBorder="1" applyAlignment="1">
      <alignment horizontal="center" vertical="center"/>
    </xf>
    <xf numFmtId="0" fontId="0" fillId="0" borderId="26" xfId="0" applyBorder="1" applyAlignment="1">
      <alignment horizontal="center" vertical="center"/>
    </xf>
    <xf numFmtId="37" fontId="5" fillId="36" borderId="19" xfId="0" applyNumberFormat="1" applyFont="1" applyFill="1"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26" xfId="0" applyBorder="1" applyAlignment="1" applyProtection="1">
      <alignment horizontal="center" vertical="center"/>
      <protection/>
    </xf>
    <xf numFmtId="3" fontId="4" fillId="35" borderId="23" xfId="0" applyNumberFormat="1" applyFont="1" applyFill="1" applyBorder="1" applyAlignment="1" applyProtection="1">
      <alignment horizontal="center" vertical="center"/>
      <protection locked="0"/>
    </xf>
    <xf numFmtId="3" fontId="0" fillId="0" borderId="15" xfId="0" applyNumberFormat="1" applyBorder="1" applyAlignment="1" applyProtection="1">
      <alignment horizontal="center" vertical="center"/>
      <protection locked="0"/>
    </xf>
    <xf numFmtId="0" fontId="5" fillId="34" borderId="23" xfId="0" applyFont="1" applyFill="1" applyBorder="1" applyAlignment="1">
      <alignment horizontal="center" vertical="center"/>
    </xf>
    <xf numFmtId="0" fontId="1" fillId="34" borderId="10" xfId="0" applyFont="1" applyFill="1" applyBorder="1" applyAlignment="1">
      <alignment horizontal="center" vertical="center"/>
    </xf>
    <xf numFmtId="0" fontId="18" fillId="33" borderId="0" xfId="0" applyFont="1" applyFill="1" applyBorder="1" applyAlignment="1">
      <alignment vertical="center"/>
    </xf>
    <xf numFmtId="0" fontId="20" fillId="0" borderId="0" xfId="0" applyFont="1" applyAlignment="1">
      <alignment vertical="center"/>
    </xf>
    <xf numFmtId="0" fontId="4" fillId="0" borderId="0" xfId="537" applyFont="1" applyAlignment="1">
      <alignment horizontal="left" vertical="center" wrapText="1"/>
      <protection/>
    </xf>
    <xf numFmtId="0" fontId="10" fillId="0" borderId="0" xfId="537" applyFont="1" applyAlignment="1">
      <alignment horizontal="left" vertical="center" wrapText="1"/>
      <protection/>
    </xf>
    <xf numFmtId="0" fontId="17" fillId="0" borderId="0" xfId="537" applyFont="1" applyAlignment="1">
      <alignment horizontal="left" vertical="center"/>
      <protection/>
    </xf>
    <xf numFmtId="0" fontId="4" fillId="42" borderId="0" xfId="0" applyFont="1" applyFill="1" applyAlignment="1" applyProtection="1">
      <alignment horizontal="right" vertical="center"/>
      <protection/>
    </xf>
    <xf numFmtId="0" fontId="9" fillId="51" borderId="0" xfId="0" applyFont="1" applyFill="1" applyAlignment="1">
      <alignment horizontal="right" vertical="center" textRotation="180" wrapText="1"/>
    </xf>
    <xf numFmtId="0" fontId="5" fillId="33" borderId="0" xfId="0" applyFont="1" applyFill="1" applyAlignment="1" applyProtection="1">
      <alignment horizontal="center" vertical="center"/>
      <protection/>
    </xf>
    <xf numFmtId="0" fontId="4" fillId="33" borderId="12" xfId="0" applyFont="1" applyFill="1" applyBorder="1" applyAlignment="1" applyProtection="1">
      <alignment horizontal="center" vertical="center" wrapText="1"/>
      <protection/>
    </xf>
    <xf numFmtId="0" fontId="4" fillId="33" borderId="25" xfId="0" applyFont="1" applyFill="1" applyBorder="1" applyAlignment="1" applyProtection="1">
      <alignment horizontal="center" vertical="center" wrapText="1"/>
      <protection/>
    </xf>
    <xf numFmtId="37" fontId="4" fillId="33" borderId="0" xfId="0" applyNumberFormat="1" applyFont="1" applyFill="1" applyAlignment="1" applyProtection="1">
      <alignment horizontal="center" vertical="center"/>
      <protection/>
    </xf>
    <xf numFmtId="0" fontId="4" fillId="33" borderId="23" xfId="0" applyFont="1" applyFill="1" applyBorder="1" applyAlignment="1" applyProtection="1">
      <alignment horizontal="center" vertical="center"/>
      <protection/>
    </xf>
    <xf numFmtId="0" fontId="4" fillId="34" borderId="23" xfId="0" applyFont="1" applyFill="1" applyBorder="1" applyAlignment="1" applyProtection="1">
      <alignment horizontal="center" vertical="center"/>
      <protection/>
    </xf>
    <xf numFmtId="0" fontId="0" fillId="34" borderId="10" xfId="0" applyFill="1" applyBorder="1" applyAlignment="1">
      <alignment horizontal="center" vertical="center"/>
    </xf>
    <xf numFmtId="0" fontId="0" fillId="34" borderId="15" xfId="0" applyFill="1" applyBorder="1" applyAlignment="1">
      <alignment horizontal="center" vertical="center"/>
    </xf>
    <xf numFmtId="0" fontId="0" fillId="0" borderId="15" xfId="0" applyBorder="1" applyAlignment="1">
      <alignment horizontal="center" vertical="center"/>
    </xf>
    <xf numFmtId="0" fontId="4" fillId="33" borderId="23"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0" xfId="0" applyFont="1" applyFill="1" applyAlignment="1" applyProtection="1">
      <alignment horizontal="center" vertical="center"/>
      <protection/>
    </xf>
    <xf numFmtId="0" fontId="8" fillId="39" borderId="23" xfId="89" applyFont="1" applyFill="1" applyBorder="1" applyAlignment="1">
      <alignment horizontal="left" vertical="center"/>
      <protection/>
    </xf>
    <xf numFmtId="0" fontId="16" fillId="0" borderId="15" xfId="0" applyFont="1" applyBorder="1" applyAlignment="1">
      <alignment vertical="center"/>
    </xf>
    <xf numFmtId="0" fontId="4" fillId="33" borderId="14" xfId="0" applyFont="1" applyFill="1" applyBorder="1" applyAlignment="1" applyProtection="1">
      <alignment horizontal="center" vertical="center"/>
      <protection locked="0"/>
    </xf>
    <xf numFmtId="37" fontId="5" fillId="33" borderId="0" xfId="0" applyNumberFormat="1" applyFont="1" applyFill="1" applyAlignment="1" applyProtection="1">
      <alignment horizontal="center" vertical="center"/>
      <protection/>
    </xf>
    <xf numFmtId="0" fontId="4" fillId="33" borderId="0" xfId="89" applyFont="1" applyFill="1" applyAlignment="1">
      <alignment horizontal="center" vertical="center"/>
      <protection/>
    </xf>
    <xf numFmtId="0" fontId="4" fillId="33" borderId="0" xfId="89" applyFont="1" applyFill="1" applyAlignment="1" applyProtection="1">
      <alignment horizontal="center" vertical="center" wrapText="1"/>
      <protection/>
    </xf>
    <xf numFmtId="0" fontId="4" fillId="33" borderId="0" xfId="89" applyFont="1" applyFill="1" applyAlignment="1" applyProtection="1">
      <alignment horizontal="center" vertical="center"/>
      <protection/>
    </xf>
    <xf numFmtId="0" fontId="0" fillId="0" borderId="0" xfId="0" applyAlignment="1">
      <alignment horizontal="center" vertical="center"/>
    </xf>
    <xf numFmtId="37" fontId="4" fillId="33" borderId="12" xfId="0" applyNumberFormat="1" applyFont="1" applyFill="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37" fontId="5" fillId="33" borderId="0" xfId="89" applyNumberFormat="1" applyFont="1" applyFill="1" applyAlignment="1" applyProtection="1">
      <alignment horizontal="center" vertical="center"/>
      <protection/>
    </xf>
    <xf numFmtId="0" fontId="5" fillId="33" borderId="0" xfId="576" applyFont="1" applyFill="1" applyAlignment="1" applyProtection="1">
      <alignment horizontal="center" vertical="center"/>
      <protection/>
    </xf>
    <xf numFmtId="0" fontId="5" fillId="42" borderId="0" xfId="95" applyFont="1" applyFill="1" applyAlignment="1">
      <alignment horizontal="center" vertical="center"/>
      <protection/>
    </xf>
    <xf numFmtId="0" fontId="17" fillId="42" borderId="0" xfId="95" applyFont="1" applyFill="1" applyAlignment="1">
      <alignment horizontal="center" vertical="center"/>
      <protection/>
    </xf>
    <xf numFmtId="0" fontId="4" fillId="42" borderId="0" xfId="95" applyFont="1" applyFill="1" applyAlignment="1">
      <alignment vertical="center" wrapText="1"/>
      <protection/>
    </xf>
    <xf numFmtId="0" fontId="17" fillId="42" borderId="0" xfId="560" applyFont="1" applyFill="1" applyAlignment="1">
      <alignment horizontal="center"/>
      <protection/>
    </xf>
    <xf numFmtId="0" fontId="0" fillId="42" borderId="0" xfId="95" applyFill="1" applyAlignment="1">
      <alignment horizontal="center"/>
      <protection/>
    </xf>
    <xf numFmtId="3" fontId="4" fillId="33" borderId="20" xfId="116" applyNumberFormat="1" applyFont="1" applyFill="1" applyBorder="1" applyAlignment="1" applyProtection="1">
      <alignment horizontal="right" vertical="center"/>
      <protection/>
    </xf>
    <xf numFmtId="0" fontId="0" fillId="0" borderId="26" xfId="116" applyBorder="1" applyAlignment="1">
      <alignment horizontal="right" vertical="center"/>
      <protection/>
    </xf>
    <xf numFmtId="0" fontId="4" fillId="33" borderId="0" xfId="116" applyFont="1" applyFill="1" applyAlignment="1" applyProtection="1">
      <alignment horizontal="right" vertical="center"/>
      <protection/>
    </xf>
    <xf numFmtId="0" fontId="4" fillId="0" borderId="24" xfId="116" applyFont="1" applyBorder="1" applyAlignment="1">
      <alignment horizontal="right" vertical="center"/>
      <protection/>
    </xf>
    <xf numFmtId="0" fontId="4" fillId="33"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0" fontId="34" fillId="42" borderId="19" xfId="0" applyFont="1" applyFill="1" applyBorder="1" applyAlignment="1" applyProtection="1">
      <alignment horizontal="center" vertical="center"/>
      <protection/>
    </xf>
    <xf numFmtId="0" fontId="0" fillId="0" borderId="20" xfId="0" applyBorder="1" applyAlignment="1">
      <alignment vertical="center"/>
    </xf>
    <xf numFmtId="0" fontId="0" fillId="0" borderId="26" xfId="0" applyBorder="1" applyAlignment="1">
      <alignment vertical="center"/>
    </xf>
    <xf numFmtId="183" fontId="34" fillId="42" borderId="19" xfId="0" applyNumberFormat="1" applyFont="1" applyFill="1" applyBorder="1" applyAlignment="1" applyProtection="1">
      <alignment horizontal="center"/>
      <protection/>
    </xf>
    <xf numFmtId="0" fontId="15" fillId="0" borderId="20" xfId="0" applyFont="1" applyBorder="1" applyAlignment="1">
      <alignment/>
    </xf>
    <xf numFmtId="0" fontId="15" fillId="0" borderId="26" xfId="0" applyFont="1" applyBorder="1" applyAlignment="1">
      <alignment/>
    </xf>
    <xf numFmtId="0" fontId="34" fillId="42" borderId="19" xfId="86" applyFont="1" applyFill="1" applyBorder="1" applyAlignment="1" applyProtection="1">
      <alignment horizontal="center" vertical="center"/>
      <protection/>
    </xf>
    <xf numFmtId="0" fontId="0" fillId="0" borderId="20" xfId="86" applyBorder="1" applyAlignment="1">
      <alignment vertical="center"/>
      <protection/>
    </xf>
    <xf numFmtId="0" fontId="0" fillId="0" borderId="26" xfId="86" applyBorder="1" applyAlignment="1">
      <alignment vertical="center"/>
      <protection/>
    </xf>
    <xf numFmtId="0" fontId="16" fillId="0" borderId="20" xfId="86" applyFont="1" applyBorder="1" applyAlignment="1">
      <alignment horizontal="center" vertical="center"/>
      <protection/>
    </xf>
    <xf numFmtId="0" fontId="0" fillId="0" borderId="26" xfId="86" applyBorder="1" applyAlignment="1">
      <alignment/>
      <protection/>
    </xf>
    <xf numFmtId="0" fontId="4" fillId="33" borderId="0" xfId="69" applyNumberFormat="1" applyFont="1" applyFill="1" applyBorder="1" applyAlignment="1" applyProtection="1">
      <alignment horizontal="right" vertical="center"/>
      <protection/>
    </xf>
    <xf numFmtId="0" fontId="4" fillId="0" borderId="0" xfId="69" applyFont="1" applyAlignment="1" applyProtection="1">
      <alignment horizontal="right" vertical="center"/>
      <protection/>
    </xf>
    <xf numFmtId="183" fontId="34" fillId="42" borderId="19" xfId="86" applyNumberFormat="1" applyFont="1" applyFill="1" applyBorder="1" applyAlignment="1" applyProtection="1">
      <alignment horizontal="center"/>
      <protection/>
    </xf>
    <xf numFmtId="0" fontId="15" fillId="0" borderId="20" xfId="86" applyFont="1" applyBorder="1" applyAlignment="1">
      <alignment/>
      <protection/>
    </xf>
    <xf numFmtId="0" fontId="15" fillId="0" borderId="26" xfId="86" applyFont="1" applyBorder="1" applyAlignment="1">
      <alignment/>
      <protection/>
    </xf>
    <xf numFmtId="0" fontId="0" fillId="0" borderId="20" xfId="86" applyBorder="1" applyAlignment="1">
      <alignment horizontal="center" vertical="center"/>
      <protection/>
    </xf>
    <xf numFmtId="0" fontId="4" fillId="33" borderId="24" xfId="68" applyNumberFormat="1" applyFont="1" applyFill="1" applyBorder="1" applyAlignment="1" applyProtection="1">
      <alignment horizontal="right" vertical="center"/>
      <protection/>
    </xf>
    <xf numFmtId="0" fontId="0" fillId="0" borderId="26" xfId="0" applyBorder="1" applyAlignment="1">
      <alignment/>
    </xf>
    <xf numFmtId="0" fontId="16" fillId="0" borderId="20" xfId="0" applyFont="1" applyBorder="1" applyAlignment="1">
      <alignment horizontal="center" vertical="center"/>
    </xf>
    <xf numFmtId="0" fontId="5" fillId="33" borderId="23" xfId="0" applyFont="1" applyFill="1" applyBorder="1" applyAlignment="1">
      <alignment vertical="center"/>
    </xf>
    <xf numFmtId="0" fontId="5" fillId="33" borderId="15" xfId="0" applyFont="1" applyFill="1" applyBorder="1" applyAlignment="1">
      <alignment vertical="center"/>
    </xf>
    <xf numFmtId="37" fontId="5" fillId="42" borderId="0" xfId="0" applyNumberFormat="1" applyFont="1" applyFill="1" applyAlignment="1" applyProtection="1">
      <alignment horizontal="center" vertical="center"/>
      <protection/>
    </xf>
    <xf numFmtId="49" fontId="4" fillId="33" borderId="20" xfId="0" applyNumberFormat="1" applyFont="1" applyFill="1" applyBorder="1" applyAlignment="1" applyProtection="1">
      <alignment horizontal="center" vertical="center"/>
      <protection locked="0"/>
    </xf>
    <xf numFmtId="37" fontId="4" fillId="42" borderId="0" xfId="0" applyNumberFormat="1" applyFont="1" applyFill="1" applyAlignment="1" applyProtection="1">
      <alignment horizontal="center" vertical="center"/>
      <protection/>
    </xf>
    <xf numFmtId="49" fontId="4" fillId="33" borderId="14" xfId="0" applyNumberFormat="1" applyFont="1" applyFill="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4" fillId="42" borderId="0" xfId="0" applyFont="1" applyFill="1" applyAlignment="1" applyProtection="1">
      <alignment horizontal="center" vertical="center"/>
      <protection/>
    </xf>
    <xf numFmtId="0" fontId="17" fillId="42" borderId="19" xfId="0" applyFont="1" applyFill="1" applyBorder="1" applyAlignment="1" applyProtection="1">
      <alignment horizontal="center"/>
      <protection/>
    </xf>
    <xf numFmtId="0" fontId="0" fillId="0" borderId="20" xfId="0" applyBorder="1" applyAlignment="1">
      <alignment horizontal="center"/>
    </xf>
    <xf numFmtId="0" fontId="0" fillId="0" borderId="26" xfId="0" applyBorder="1" applyAlignment="1">
      <alignment horizontal="center"/>
    </xf>
    <xf numFmtId="0" fontId="0" fillId="0" borderId="20" xfId="0" applyBorder="1" applyAlignment="1" applyProtection="1">
      <alignment horizontal="center"/>
      <protection/>
    </xf>
    <xf numFmtId="0" fontId="0" fillId="0" borderId="26" xfId="0" applyBorder="1" applyAlignment="1" applyProtection="1">
      <alignment horizontal="center"/>
      <protection/>
    </xf>
    <xf numFmtId="0" fontId="17" fillId="42" borderId="20" xfId="0" applyFont="1" applyFill="1" applyBorder="1" applyAlignment="1" applyProtection="1">
      <alignment horizontal="center"/>
      <protection/>
    </xf>
    <xf numFmtId="0" fontId="17" fillId="42" borderId="26" xfId="0" applyFont="1" applyFill="1" applyBorder="1" applyAlignment="1" applyProtection="1">
      <alignment horizontal="center"/>
      <protection/>
    </xf>
    <xf numFmtId="0" fontId="8" fillId="33" borderId="12" xfId="0" applyFont="1" applyFill="1" applyBorder="1" applyAlignment="1" applyProtection="1">
      <alignment horizontal="center" vertical="center" wrapText="1" shrinkToFit="1"/>
      <protection/>
    </xf>
    <xf numFmtId="0" fontId="16" fillId="0" borderId="13" xfId="0" applyFont="1" applyBorder="1" applyAlignment="1" applyProtection="1">
      <alignment horizontal="center" vertical="center" wrapText="1" shrinkToFit="1"/>
      <protection/>
    </xf>
    <xf numFmtId="0" fontId="0" fillId="0" borderId="0" xfId="0" applyFont="1" applyAlignment="1">
      <alignment vertical="center"/>
    </xf>
    <xf numFmtId="0" fontId="0" fillId="0" borderId="0" xfId="0" applyFont="1" applyAlignment="1">
      <alignment horizontal="center" vertical="center"/>
    </xf>
    <xf numFmtId="0" fontId="4" fillId="33"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84" fillId="46" borderId="32" xfId="441" applyFont="1" applyFill="1" applyBorder="1" applyAlignment="1">
      <alignment horizontal="left" vertical="top" wrapText="1"/>
      <protection/>
    </xf>
    <xf numFmtId="0" fontId="84" fillId="46" borderId="33" xfId="441" applyFont="1" applyFill="1" applyBorder="1" applyAlignment="1">
      <alignment horizontal="left" vertical="top" wrapText="1"/>
      <protection/>
    </xf>
    <xf numFmtId="0" fontId="84" fillId="46" borderId="34" xfId="441" applyFont="1" applyFill="1" applyBorder="1" applyAlignment="1">
      <alignment horizontal="left" vertical="top" wrapText="1"/>
      <protection/>
    </xf>
    <xf numFmtId="0" fontId="97" fillId="46" borderId="42" xfId="441" applyFont="1" applyFill="1" applyBorder="1" applyAlignment="1">
      <alignment horizontal="center"/>
      <protection/>
    </xf>
    <xf numFmtId="0" fontId="69" fillId="46" borderId="43" xfId="441" applyFill="1" applyBorder="1" applyAlignment="1">
      <alignment horizontal="center"/>
      <protection/>
    </xf>
    <xf numFmtId="0" fontId="69" fillId="46" borderId="44" xfId="441" applyFill="1" applyBorder="1" applyAlignment="1">
      <alignment horizontal="center"/>
      <protection/>
    </xf>
    <xf numFmtId="0" fontId="84" fillId="46" borderId="27" xfId="441" applyFont="1" applyFill="1" applyBorder="1" applyAlignment="1">
      <alignment horizontal="center"/>
      <protection/>
    </xf>
    <xf numFmtId="0" fontId="84" fillId="46" borderId="28" xfId="441" applyFont="1" applyFill="1" applyBorder="1" applyAlignment="1">
      <alignment horizontal="center"/>
      <protection/>
    </xf>
    <xf numFmtId="0" fontId="84" fillId="46" borderId="29" xfId="441" applyFont="1" applyFill="1" applyBorder="1" applyAlignment="1">
      <alignment horizontal="center"/>
      <protection/>
    </xf>
    <xf numFmtId="0" fontId="97" fillId="0" borderId="42" xfId="441" applyFont="1" applyBorder="1" applyAlignment="1">
      <alignment horizontal="center"/>
      <protection/>
    </xf>
    <xf numFmtId="0" fontId="97" fillId="0" borderId="43" xfId="441" applyFont="1" applyBorder="1" applyAlignment="1">
      <alignment horizontal="center"/>
      <protection/>
    </xf>
    <xf numFmtId="0" fontId="97" fillId="0" borderId="44" xfId="441" applyFont="1" applyBorder="1" applyAlignment="1">
      <alignment horizontal="center"/>
      <protection/>
    </xf>
    <xf numFmtId="0" fontId="84" fillId="46" borderId="35" xfId="441" applyFont="1" applyFill="1" applyBorder="1" applyAlignment="1">
      <alignment horizontal="center"/>
      <protection/>
    </xf>
    <xf numFmtId="0" fontId="84" fillId="46" borderId="0" xfId="441" applyFont="1" applyFill="1" applyBorder="1" applyAlignment="1">
      <alignment horizontal="center"/>
      <protection/>
    </xf>
    <xf numFmtId="0" fontId="84" fillId="46" borderId="31" xfId="441" applyFont="1" applyFill="1" applyBorder="1" applyAlignment="1">
      <alignment horizontal="center"/>
      <protection/>
    </xf>
    <xf numFmtId="0" fontId="29" fillId="42" borderId="20" xfId="0" applyFont="1" applyFill="1" applyBorder="1" applyAlignment="1">
      <alignment horizontal="center"/>
    </xf>
    <xf numFmtId="187" fontId="29" fillId="42" borderId="0" xfId="0" applyNumberFormat="1" applyFont="1" applyFill="1" applyBorder="1" applyAlignment="1">
      <alignment horizontal="center"/>
    </xf>
    <xf numFmtId="0" fontId="29" fillId="42" borderId="35" xfId="0" applyFont="1" applyFill="1" applyBorder="1" applyAlignment="1">
      <alignment vertical="top" wrapText="1"/>
    </xf>
    <xf numFmtId="0" fontId="29" fillId="0" borderId="0" xfId="0" applyFont="1" applyAlignment="1">
      <alignment vertical="top" wrapText="1"/>
    </xf>
    <xf numFmtId="0" fontId="29" fillId="0" borderId="31" xfId="0" applyFont="1" applyBorder="1" applyAlignment="1">
      <alignment vertical="top" wrapText="1"/>
    </xf>
    <xf numFmtId="188" fontId="29" fillId="42" borderId="0" xfId="0" applyNumberFormat="1" applyFont="1" applyFill="1" applyBorder="1" applyAlignment="1">
      <alignment horizontal="center"/>
    </xf>
    <xf numFmtId="0" fontId="29" fillId="0" borderId="31" xfId="0" applyFont="1" applyBorder="1" applyAlignment="1">
      <alignment horizontal="center"/>
    </xf>
    <xf numFmtId="182" fontId="29" fillId="44" borderId="14" xfId="0" applyNumberFormat="1" applyFont="1" applyFill="1" applyBorder="1" applyAlignment="1" applyProtection="1">
      <alignment horizontal="center"/>
      <protection locked="0"/>
    </xf>
    <xf numFmtId="188" fontId="29" fillId="0" borderId="31" xfId="0" applyNumberFormat="1" applyFont="1" applyBorder="1" applyAlignment="1">
      <alignment horizontal="center"/>
    </xf>
    <xf numFmtId="0" fontId="87" fillId="42" borderId="0" xfId="0" applyFont="1" applyFill="1" applyAlignment="1">
      <alignment horizontal="center" wrapText="1"/>
    </xf>
    <xf numFmtId="0" fontId="29" fillId="42" borderId="0" xfId="0" applyFont="1" applyFill="1" applyAlignment="1">
      <alignment wrapText="1"/>
    </xf>
    <xf numFmtId="0" fontId="29" fillId="42" borderId="0" xfId="0" applyFont="1" applyFill="1" applyBorder="1" applyAlignment="1">
      <alignment horizontal="center"/>
    </xf>
    <xf numFmtId="187" fontId="29" fillId="44" borderId="14" xfId="0" applyNumberFormat="1" applyFont="1" applyFill="1" applyBorder="1" applyAlignment="1" applyProtection="1">
      <alignment horizontal="center"/>
      <protection locked="0"/>
    </xf>
    <xf numFmtId="5" fontId="29" fillId="42" borderId="14" xfId="0" applyNumberFormat="1" applyFont="1" applyFill="1" applyBorder="1" applyAlignment="1">
      <alignment horizontal="center"/>
    </xf>
    <xf numFmtId="0" fontId="87" fillId="42" borderId="28" xfId="0" applyFont="1" applyFill="1" applyBorder="1" applyAlignment="1">
      <alignment horizontal="center" vertical="center"/>
    </xf>
    <xf numFmtId="0" fontId="29" fillId="0" borderId="28" xfId="0" applyFont="1" applyBorder="1" applyAlignment="1">
      <alignment horizontal="center" vertical="center"/>
    </xf>
    <xf numFmtId="0" fontId="87" fillId="42" borderId="0" xfId="0" applyFont="1" applyFill="1" applyBorder="1" applyAlignment="1">
      <alignment horizontal="center" wrapText="1"/>
    </xf>
    <xf numFmtId="0" fontId="29" fillId="0" borderId="0" xfId="0" applyFont="1" applyAlignment="1">
      <alignment horizontal="center" wrapText="1"/>
    </xf>
    <xf numFmtId="0" fontId="87" fillId="0" borderId="0" xfId="0" applyFont="1" applyAlignment="1">
      <alignment horizontal="center" wrapText="1"/>
    </xf>
    <xf numFmtId="0" fontId="29" fillId="42" borderId="0" xfId="0" applyFont="1" applyFill="1" applyBorder="1" applyAlignment="1">
      <alignment wrapText="1"/>
    </xf>
    <xf numFmtId="0" fontId="29" fillId="0" borderId="0" xfId="0" applyFont="1" applyAlignment="1">
      <alignment wrapText="1"/>
    </xf>
    <xf numFmtId="187" fontId="29" fillId="44" borderId="30" xfId="0" applyNumberFormat="1" applyFont="1" applyFill="1" applyBorder="1" applyAlignment="1" applyProtection="1">
      <alignment horizontal="center"/>
      <protection locked="0"/>
    </xf>
    <xf numFmtId="0" fontId="29" fillId="42" borderId="0" xfId="0" applyFont="1" applyFill="1" applyBorder="1" applyAlignment="1">
      <alignment/>
    </xf>
    <xf numFmtId="0" fontId="29" fillId="0" borderId="0" xfId="0" applyFont="1" applyBorder="1" applyAlignment="1">
      <alignment/>
    </xf>
    <xf numFmtId="0" fontId="29" fillId="42" borderId="33" xfId="0" applyFont="1" applyFill="1" applyBorder="1" applyAlignment="1">
      <alignment/>
    </xf>
    <xf numFmtId="0" fontId="29" fillId="42" borderId="34" xfId="0" applyFont="1" applyFill="1" applyBorder="1" applyAlignment="1">
      <alignment/>
    </xf>
    <xf numFmtId="0" fontId="87" fillId="42" borderId="0" xfId="0" applyFont="1" applyFill="1" applyAlignment="1">
      <alignment horizontal="center"/>
    </xf>
    <xf numFmtId="187" fontId="29" fillId="42" borderId="0" xfId="0" applyNumberFormat="1" applyFont="1" applyFill="1" applyAlignment="1">
      <alignment/>
    </xf>
    <xf numFmtId="187" fontId="29" fillId="42" borderId="0" xfId="0" applyNumberFormat="1" applyFont="1" applyFill="1" applyAlignment="1">
      <alignment horizontal="center"/>
    </xf>
    <xf numFmtId="0" fontId="87" fillId="42" borderId="0" xfId="0" applyFont="1" applyFill="1" applyAlignment="1">
      <alignment horizontal="center" vertical="center"/>
    </xf>
    <xf numFmtId="0" fontId="87" fillId="0" borderId="0" xfId="0" applyFont="1" applyAlignment="1">
      <alignment horizontal="center" vertical="center"/>
    </xf>
    <xf numFmtId="181" fontId="4" fillId="33" borderId="14" xfId="89" applyNumberFormat="1" applyFont="1" applyFill="1" applyBorder="1" applyAlignment="1" applyProtection="1">
      <alignment vertical="center"/>
      <protection/>
    </xf>
  </cellXfs>
  <cellStyles count="5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2" xfId="50"/>
    <cellStyle name="Comma 3 3" xfId="51"/>
    <cellStyle name="Comma 4" xfId="52"/>
    <cellStyle name="Comma 4 2" xfId="53"/>
    <cellStyle name="Comma 6" xfId="54"/>
    <cellStyle name="Comma 6 2"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7" xfId="78"/>
    <cellStyle name="Hyperlink 7 2" xfId="79"/>
    <cellStyle name="Hyperlink 7 3" xfId="80"/>
    <cellStyle name="Hyperlink 8" xfId="81"/>
    <cellStyle name="Hyperlink 8 2" xfId="82"/>
    <cellStyle name="Input" xfId="83"/>
    <cellStyle name="Linked Cell" xfId="84"/>
    <cellStyle name="Neutral" xfId="85"/>
    <cellStyle name="Normal 10" xfId="86"/>
    <cellStyle name="Normal 10 2" xfId="87"/>
    <cellStyle name="Normal 10 2 2" xfId="88"/>
    <cellStyle name="Normal 10 2 2 2" xfId="89"/>
    <cellStyle name="Normal 10 2 2 3" xfId="90"/>
    <cellStyle name="Normal 10 2 3" xfId="91"/>
    <cellStyle name="Normal 10 3" xfId="92"/>
    <cellStyle name="Normal 10 4" xfId="93"/>
    <cellStyle name="Normal 10 5" xfId="94"/>
    <cellStyle name="Normal 10 5 2" xfId="95"/>
    <cellStyle name="Normal 10 5 3" xfId="96"/>
    <cellStyle name="Normal 10 5 4"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5 4"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2 2 3" xfId="189"/>
    <cellStyle name="Normal 2 10 11 3" xfId="190"/>
    <cellStyle name="Normal 2 10 11 4" xfId="191"/>
    <cellStyle name="Normal 2 10 11 5" xfId="192"/>
    <cellStyle name="Normal 2 10 12" xfId="193"/>
    <cellStyle name="Normal 2 10 2" xfId="194"/>
    <cellStyle name="Normal 2 10 2 2" xfId="195"/>
    <cellStyle name="Normal 2 10 3" xfId="196"/>
    <cellStyle name="Normal 2 10 3 2" xfId="197"/>
    <cellStyle name="Normal 2 10 4" xfId="198"/>
    <cellStyle name="Normal 2 10 4 2" xfId="199"/>
    <cellStyle name="Normal 2 10 5" xfId="200"/>
    <cellStyle name="Normal 2 10 5 2" xfId="201"/>
    <cellStyle name="Normal 2 10 6" xfId="202"/>
    <cellStyle name="Normal 2 10 6 2" xfId="203"/>
    <cellStyle name="Normal 2 10 7" xfId="204"/>
    <cellStyle name="Normal 2 10 7 2" xfId="205"/>
    <cellStyle name="Normal 2 10 8" xfId="206"/>
    <cellStyle name="Normal 2 10 8 2" xfId="207"/>
    <cellStyle name="Normal 2 10 9" xfId="208"/>
    <cellStyle name="Normal 2 11" xfId="209"/>
    <cellStyle name="Normal 2 11 10" xfId="210"/>
    <cellStyle name="Normal 2 11 11" xfId="211"/>
    <cellStyle name="Normal 2 11 2" xfId="212"/>
    <cellStyle name="Normal 2 11 2 2" xfId="213"/>
    <cellStyle name="Normal 2 11 3" xfId="214"/>
    <cellStyle name="Normal 2 11 3 2" xfId="215"/>
    <cellStyle name="Normal 2 11 4" xfId="216"/>
    <cellStyle name="Normal 2 11 4 2" xfId="217"/>
    <cellStyle name="Normal 2 11 5" xfId="218"/>
    <cellStyle name="Normal 2 11 5 2" xfId="219"/>
    <cellStyle name="Normal 2 11 6" xfId="220"/>
    <cellStyle name="Normal 2 11 6 2" xfId="221"/>
    <cellStyle name="Normal 2 11 7" xfId="222"/>
    <cellStyle name="Normal 2 11 7 2" xfId="223"/>
    <cellStyle name="Normal 2 11 8" xfId="224"/>
    <cellStyle name="Normal 2 11 8 2" xfId="225"/>
    <cellStyle name="Normal 2 11 9" xfId="226"/>
    <cellStyle name="Normal 2 12" xfId="227"/>
    <cellStyle name="Normal 2 13" xfId="228"/>
    <cellStyle name="Normal 2 14" xfId="229"/>
    <cellStyle name="Normal 2 15" xfId="230"/>
    <cellStyle name="Normal 2 16" xfId="231"/>
    <cellStyle name="Normal 2 17" xfId="232"/>
    <cellStyle name="Normal 2 17 2" xfId="233"/>
    <cellStyle name="Normal 2 17 3" xfId="234"/>
    <cellStyle name="Normal 2 18"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27 2" xfId="461"/>
    <cellStyle name="Normal 3" xfId="462"/>
    <cellStyle name="Normal 3 10" xfId="463"/>
    <cellStyle name="Normal 3 10 2" xfId="464"/>
    <cellStyle name="Normal 3 11" xfId="465"/>
    <cellStyle name="Normal 3 12" xfId="466"/>
    <cellStyle name="Normal 3 13" xfId="467"/>
    <cellStyle name="Normal 3 14" xfId="468"/>
    <cellStyle name="Normal 3 15" xfId="469"/>
    <cellStyle name="Normal 3 2" xfId="470"/>
    <cellStyle name="Normal 3 2 2" xfId="471"/>
    <cellStyle name="Normal 3 2 2 2" xfId="472"/>
    <cellStyle name="Normal 3 2 2 3" xfId="473"/>
    <cellStyle name="Normal 3 2 3" xfId="474"/>
    <cellStyle name="Normal 3 2 4" xfId="475"/>
    <cellStyle name="Normal 3 2 5" xfId="476"/>
    <cellStyle name="Normal 3 3" xfId="477"/>
    <cellStyle name="Normal 3 3 2" xfId="478"/>
    <cellStyle name="Normal 3 3 2 2" xfId="479"/>
    <cellStyle name="Normal 3 3 2 3" xfId="480"/>
    <cellStyle name="Normal 3 3 3" xfId="481"/>
    <cellStyle name="Normal 3 3 4" xfId="482"/>
    <cellStyle name="Normal 3 4" xfId="483"/>
    <cellStyle name="Normal 3 5" xfId="484"/>
    <cellStyle name="Normal 3 6" xfId="485"/>
    <cellStyle name="Normal 3 7" xfId="486"/>
    <cellStyle name="Normal 3 7 2" xfId="487"/>
    <cellStyle name="Normal 3 7 3" xfId="488"/>
    <cellStyle name="Normal 3 8" xfId="489"/>
    <cellStyle name="Normal 3 8 2" xfId="490"/>
    <cellStyle name="Normal 3 8 3" xfId="491"/>
    <cellStyle name="Normal 3 9" xfId="492"/>
    <cellStyle name="Normal 3 9 2" xfId="493"/>
    <cellStyle name="Normal 3 9 3" xfId="494"/>
    <cellStyle name="Normal 4" xfId="495"/>
    <cellStyle name="Normal 4 10" xfId="496"/>
    <cellStyle name="Normal 4 11" xfId="497"/>
    <cellStyle name="Normal 4 12" xfId="498"/>
    <cellStyle name="Normal 4 13" xfId="499"/>
    <cellStyle name="Normal 4 2" xfId="500"/>
    <cellStyle name="Normal 4 2 2" xfId="501"/>
    <cellStyle name="Normal 4 2 2 2" xfId="502"/>
    <cellStyle name="Normal 4 2 2 3" xfId="503"/>
    <cellStyle name="Normal 4 2 2 3 2" xfId="504"/>
    <cellStyle name="Normal 4 2 2 3 3" xfId="505"/>
    <cellStyle name="Normal 4 2 3" xfId="506"/>
    <cellStyle name="Normal 4 2 4" xfId="507"/>
    <cellStyle name="Normal 4 2 5" xfId="508"/>
    <cellStyle name="Normal 4 3" xfId="509"/>
    <cellStyle name="Normal 4 3 2" xfId="510"/>
    <cellStyle name="Normal 4 3 3" xfId="511"/>
    <cellStyle name="Normal 4 4" xfId="512"/>
    <cellStyle name="Normal 4 5" xfId="513"/>
    <cellStyle name="Normal 4 5 2" xfId="514"/>
    <cellStyle name="Normal 4 5 3" xfId="515"/>
    <cellStyle name="Normal 4 6" xfId="516"/>
    <cellStyle name="Normal 4 6 2" xfId="517"/>
    <cellStyle name="Normal 4 6 3" xfId="518"/>
    <cellStyle name="Normal 4 7" xfId="519"/>
    <cellStyle name="Normal 4 8" xfId="520"/>
    <cellStyle name="Normal 4 9" xfId="521"/>
    <cellStyle name="Normal 5" xfId="522"/>
    <cellStyle name="Normal 5 2" xfId="523"/>
    <cellStyle name="Normal 5 3" xfId="524"/>
    <cellStyle name="Normal 5 3 2" xfId="525"/>
    <cellStyle name="Normal 5 3 3" xfId="526"/>
    <cellStyle name="Normal 5 4" xfId="527"/>
    <cellStyle name="Normal 5 5" xfId="528"/>
    <cellStyle name="Normal 5 5 2" xfId="529"/>
    <cellStyle name="Normal 5 5 3" xfId="530"/>
    <cellStyle name="Normal 5 6" xfId="531"/>
    <cellStyle name="Normal 6" xfId="532"/>
    <cellStyle name="Normal 6 2" xfId="533"/>
    <cellStyle name="Normal 6 3" xfId="534"/>
    <cellStyle name="Normal 6 4" xfId="535"/>
    <cellStyle name="Normal 6 5" xfId="536"/>
    <cellStyle name="Normal 7" xfId="537"/>
    <cellStyle name="Normal 7 2" xfId="538"/>
    <cellStyle name="Normal 7 2 2" xfId="539"/>
    <cellStyle name="Normal 7 2 2 2" xfId="540"/>
    <cellStyle name="Normal 7 2 2 3" xfId="541"/>
    <cellStyle name="Normal 7 2 3" xfId="542"/>
    <cellStyle name="Normal 7 2 4" xfId="543"/>
    <cellStyle name="Normal 7 2 4 2" xfId="544"/>
    <cellStyle name="Normal 7 2 4 3" xfId="545"/>
    <cellStyle name="Normal 7 2 4 4" xfId="546"/>
    <cellStyle name="Normal 7 2 5" xfId="547"/>
    <cellStyle name="Normal 7 3" xfId="548"/>
    <cellStyle name="Normal 7 4" xfId="549"/>
    <cellStyle name="Normal 7 4 2" xfId="550"/>
    <cellStyle name="Normal 7 4 3" xfId="551"/>
    <cellStyle name="Normal 7 5" xfId="552"/>
    <cellStyle name="Normal 7 5 2" xfId="553"/>
    <cellStyle name="Normal 7 5 3" xfId="554"/>
    <cellStyle name="Normal 7 5 4" xfId="555"/>
    <cellStyle name="Normal 7 5 5" xfId="556"/>
    <cellStyle name="Normal 7 6" xfId="557"/>
    <cellStyle name="Normal 7 7" xfId="558"/>
    <cellStyle name="Normal 8" xfId="559"/>
    <cellStyle name="Normal 8 2" xfId="560"/>
    <cellStyle name="Normal 8 3" xfId="561"/>
    <cellStyle name="Normal 9" xfId="562"/>
    <cellStyle name="Normal 9 2" xfId="563"/>
    <cellStyle name="Normal 9 2 2" xfId="564"/>
    <cellStyle name="Normal 9 2 3" xfId="565"/>
    <cellStyle name="Normal 9 3" xfId="566"/>
    <cellStyle name="Normal 9 4" xfId="567"/>
    <cellStyle name="Normal 9 5" xfId="568"/>
    <cellStyle name="Normal 9 5 2" xfId="569"/>
    <cellStyle name="Normal 9 5 3" xfId="570"/>
    <cellStyle name="Normal 9 5 4" xfId="571"/>
    <cellStyle name="Normal 9 6" xfId="572"/>
    <cellStyle name="Normal 9 6 2" xfId="573"/>
    <cellStyle name="Normal 9 6 3" xfId="574"/>
    <cellStyle name="Normal_debt" xfId="575"/>
    <cellStyle name="Normal_lpform" xfId="576"/>
    <cellStyle name="Note" xfId="577"/>
    <cellStyle name="Output" xfId="578"/>
    <cellStyle name="Percent" xfId="579"/>
    <cellStyle name="Title" xfId="580"/>
    <cellStyle name="Total" xfId="581"/>
    <cellStyle name="Warning Text" xfId="582"/>
  </cellStyles>
  <dxfs count="66">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DMINST\MUNICPAL\Bud12\2012%20Budget%20Excel%20Forms\Special%20District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it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s"/>
      <sheetName val="TransferStatutes"/>
      <sheetName val="debt"/>
      <sheetName val="gen"/>
      <sheetName val="debt service"/>
      <sheetName val="levypage8"/>
      <sheetName val="nolevypage9"/>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s"/>
      <sheetName val="TransferStatutes"/>
      <sheetName val="debt"/>
      <sheetName val="lpform"/>
      <sheetName val="Library Grant"/>
      <sheetName val="general"/>
      <sheetName val="general-detail"/>
      <sheetName val="DebtSvs-Library"/>
      <sheetName val="levy page9"/>
      <sheetName val="levy page10"/>
      <sheetName val="SpecHwy"/>
      <sheetName val="no levy page12"/>
      <sheetName val="no levy page13"/>
      <sheetName val="Sinnolevy14"/>
      <sheetName val="nonbud"/>
      <sheetName val="NonBudFunds"/>
      <sheetName val="summ"/>
      <sheetName val="Nhood"/>
      <sheetName val="Pub. Notice Option 1"/>
      <sheetName val="Pub. Notice Option 2"/>
      <sheetName val="Pub. Notice Option 3"/>
      <sheetName val="Resolution"/>
      <sheetName val="Tab A"/>
      <sheetName val="Tab B"/>
      <sheetName val="Tab C"/>
      <sheetName val="Tab D"/>
      <sheetName val="Tab E"/>
      <sheetName val="Mill Rate Computation"/>
      <sheetName val="Helpful Links"/>
      <sheetName val="Legend"/>
    </sheetNames>
    <sheetDataSet>
      <sheetData sheetId="14">
        <row r="48">
          <cell r="B48" t="str">
            <v>Unencumbered Cash Balance Jan 1</v>
          </cell>
        </row>
        <row r="49">
          <cell r="B49" t="str">
            <v>Receipts:</v>
          </cell>
        </row>
        <row r="50">
          <cell r="B50" t="str">
            <v>Ad Valorem Tax</v>
          </cell>
        </row>
        <row r="51">
          <cell r="B51" t="str">
            <v>Delinquent Tax</v>
          </cell>
        </row>
        <row r="52">
          <cell r="B52" t="str">
            <v>Motor Vehicle Tax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egan.schulz@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3"/>
  <sheetViews>
    <sheetView tabSelected="1" zoomScalePageLayoutView="0" workbookViewId="0" topLeftCell="A1">
      <selection activeCell="M149" sqref="M149"/>
    </sheetView>
  </sheetViews>
  <sheetFormatPr defaultColWidth="8.796875" defaultRowHeight="15"/>
  <cols>
    <col min="1" max="1" width="81.69921875" style="5" customWidth="1"/>
    <col min="2" max="16384" width="8.8984375" style="5" customWidth="1"/>
  </cols>
  <sheetData>
    <row r="1" spans="1:2" ht="15.75">
      <c r="A1" s="3" t="s">
        <v>752</v>
      </c>
      <c r="B1" s="4"/>
    </row>
    <row r="2" spans="1:2" ht="15.75">
      <c r="A2" s="3"/>
      <c r="B2" s="4"/>
    </row>
    <row r="3" ht="35.25" customHeight="1">
      <c r="A3" s="2" t="s">
        <v>711</v>
      </c>
    </row>
    <row r="4" ht="15.75">
      <c r="A4" s="6"/>
    </row>
    <row r="5" ht="15.75">
      <c r="A5" s="6" t="s">
        <v>787</v>
      </c>
    </row>
    <row r="6" ht="15.75">
      <c r="A6" s="6"/>
    </row>
    <row r="7" ht="53.25" customHeight="1">
      <c r="A7" s="7" t="s">
        <v>679</v>
      </c>
    </row>
    <row r="8" ht="15.75">
      <c r="A8" s="6"/>
    </row>
    <row r="9" spans="1:2" ht="15.75">
      <c r="A9" s="8" t="s">
        <v>177</v>
      </c>
      <c r="B9" s="4"/>
    </row>
    <row r="10" ht="14.25" customHeight="1">
      <c r="A10" s="9"/>
    </row>
    <row r="11" ht="18" customHeight="1">
      <c r="A11" s="6" t="s">
        <v>178</v>
      </c>
    </row>
    <row r="12" ht="14.25" customHeight="1">
      <c r="A12" s="9"/>
    </row>
    <row r="13" s="11" customFormat="1" ht="35.25" customHeight="1">
      <c r="A13" s="10" t="s">
        <v>217</v>
      </c>
    </row>
    <row r="16" ht="15.75">
      <c r="A16" s="8" t="s">
        <v>0</v>
      </c>
    </row>
    <row r="17" ht="15.75">
      <c r="A17" s="9"/>
    </row>
    <row r="18" ht="17.25" customHeight="1">
      <c r="A18" s="10" t="s">
        <v>108</v>
      </c>
    </row>
    <row r="19" ht="24.75" customHeight="1">
      <c r="A19" s="311" t="s">
        <v>107</v>
      </c>
    </row>
    <row r="20" ht="52.5" customHeight="1">
      <c r="A20" s="12" t="s">
        <v>109</v>
      </c>
    </row>
    <row r="21" ht="20.25" customHeight="1">
      <c r="A21" s="13" t="s">
        <v>139</v>
      </c>
    </row>
    <row r="22" s="14" customFormat="1" ht="20.25" customHeight="1">
      <c r="A22" s="310" t="s">
        <v>140</v>
      </c>
    </row>
    <row r="23" ht="21" customHeight="1">
      <c r="A23" s="10" t="s">
        <v>67</v>
      </c>
    </row>
    <row r="24" ht="15.75">
      <c r="A24" s="9"/>
    </row>
    <row r="25" ht="15.75">
      <c r="A25" s="15" t="s">
        <v>1</v>
      </c>
    </row>
    <row r="27" ht="21" customHeight="1">
      <c r="A27" s="11" t="s">
        <v>183</v>
      </c>
    </row>
    <row r="29" ht="68.25" customHeight="1">
      <c r="A29" s="11" t="s">
        <v>579</v>
      </c>
    </row>
    <row r="30" ht="51" customHeight="1">
      <c r="A30" s="16" t="s">
        <v>171</v>
      </c>
    </row>
    <row r="31" ht="92.25" customHeight="1">
      <c r="A31" s="675" t="s">
        <v>617</v>
      </c>
    </row>
    <row r="32" ht="17.25" customHeight="1">
      <c r="A32" s="16"/>
    </row>
    <row r="33" ht="73.5" customHeight="1">
      <c r="A33" s="676" t="s">
        <v>618</v>
      </c>
    </row>
    <row r="34" ht="69.75" customHeight="1">
      <c r="A34" s="312" t="s">
        <v>459</v>
      </c>
    </row>
    <row r="35" ht="63.75" customHeight="1">
      <c r="A35" s="677" t="s">
        <v>619</v>
      </c>
    </row>
    <row r="36" ht="9.75" customHeight="1"/>
    <row r="37" ht="68.25" customHeight="1">
      <c r="A37" s="11" t="s">
        <v>580</v>
      </c>
    </row>
    <row r="38" ht="51" customHeight="1">
      <c r="A38" s="11" t="s">
        <v>460</v>
      </c>
    </row>
    <row r="39" ht="94.5" customHeight="1">
      <c r="A39" s="11" t="s">
        <v>581</v>
      </c>
    </row>
    <row r="40" ht="15.75">
      <c r="A40" s="11"/>
    </row>
    <row r="41" ht="72" customHeight="1">
      <c r="A41" s="11" t="s">
        <v>461</v>
      </c>
    </row>
    <row r="42" ht="83.25" customHeight="1">
      <c r="A42" s="11" t="s">
        <v>713</v>
      </c>
    </row>
    <row r="43" ht="35.25" customHeight="1">
      <c r="A43" s="11" t="s">
        <v>620</v>
      </c>
    </row>
    <row r="44" ht="88.5" customHeight="1">
      <c r="A44" s="11" t="s">
        <v>681</v>
      </c>
    </row>
    <row r="45" ht="11.25" customHeight="1">
      <c r="A45" s="11"/>
    </row>
    <row r="46" ht="67.5" customHeight="1">
      <c r="A46" s="11" t="s">
        <v>714</v>
      </c>
    </row>
    <row r="47" ht="130.5" customHeight="1">
      <c r="A47" s="11" t="s">
        <v>715</v>
      </c>
    </row>
    <row r="48" ht="33.75" customHeight="1">
      <c r="A48" s="11" t="s">
        <v>716</v>
      </c>
    </row>
    <row r="49" ht="12" customHeight="1"/>
    <row r="50" ht="50.25" customHeight="1">
      <c r="A50" s="11" t="s">
        <v>680</v>
      </c>
    </row>
    <row r="51" ht="11.25" customHeight="1"/>
    <row r="52" ht="38.25" customHeight="1">
      <c r="A52" s="11" t="s">
        <v>462</v>
      </c>
    </row>
    <row r="53" ht="27" customHeight="1">
      <c r="A53" s="5" t="s">
        <v>463</v>
      </c>
    </row>
    <row r="54" ht="75" customHeight="1">
      <c r="A54" s="11" t="s">
        <v>466</v>
      </c>
    </row>
    <row r="55" ht="24.75" customHeight="1">
      <c r="A55" s="11" t="s">
        <v>464</v>
      </c>
    </row>
    <row r="56" ht="9.75" customHeight="1"/>
    <row r="57" ht="67.5" customHeight="1">
      <c r="A57" s="11" t="s">
        <v>582</v>
      </c>
    </row>
    <row r="58" s="11" customFormat="1" ht="12" customHeight="1">
      <c r="A58" s="5"/>
    </row>
    <row r="59" ht="70.5" customHeight="1">
      <c r="A59" s="11" t="s">
        <v>583</v>
      </c>
    </row>
    <row r="60" ht="121.5" customHeight="1">
      <c r="A60" s="11" t="s">
        <v>682</v>
      </c>
    </row>
    <row r="61" s="11" customFormat="1" ht="15" customHeight="1"/>
    <row r="62" ht="49.5" customHeight="1">
      <c r="A62" s="11" t="s">
        <v>683</v>
      </c>
    </row>
    <row r="63" ht="84.75" customHeight="1">
      <c r="A63" s="462" t="s">
        <v>684</v>
      </c>
    </row>
    <row r="64" ht="82.5" customHeight="1">
      <c r="A64" s="462" t="s">
        <v>685</v>
      </c>
    </row>
    <row r="65" ht="72.75" customHeight="1">
      <c r="A65" s="677" t="s">
        <v>686</v>
      </c>
    </row>
    <row r="66" ht="72.75" customHeight="1">
      <c r="A66" s="11" t="s">
        <v>687</v>
      </c>
    </row>
    <row r="67" ht="82.5" customHeight="1">
      <c r="A67" s="11" t="s">
        <v>688</v>
      </c>
    </row>
    <row r="68" ht="91.5" customHeight="1">
      <c r="A68" s="682" t="s">
        <v>689</v>
      </c>
    </row>
    <row r="69" ht="92.25" customHeight="1">
      <c r="A69" s="679" t="s">
        <v>690</v>
      </c>
    </row>
    <row r="70" ht="42" customHeight="1">
      <c r="A70" s="680" t="s">
        <v>691</v>
      </c>
    </row>
    <row r="71" ht="99" customHeight="1">
      <c r="A71" s="11" t="s">
        <v>692</v>
      </c>
    </row>
    <row r="72" ht="100.5" customHeight="1">
      <c r="A72" s="681" t="s">
        <v>693</v>
      </c>
    </row>
    <row r="73" ht="15" customHeight="1">
      <c r="A73" s="11"/>
    </row>
    <row r="74" ht="124.5" customHeight="1">
      <c r="A74" s="11" t="s">
        <v>694</v>
      </c>
    </row>
    <row r="75" ht="94.5">
      <c r="A75" s="678" t="s">
        <v>695</v>
      </c>
    </row>
    <row r="76" ht="50.25" customHeight="1">
      <c r="A76" s="678" t="s">
        <v>696</v>
      </c>
    </row>
    <row r="77" ht="24.75" customHeight="1">
      <c r="A77" s="11" t="s">
        <v>697</v>
      </c>
    </row>
    <row r="78" ht="18.75" customHeight="1">
      <c r="A78" s="11"/>
    </row>
    <row r="79" ht="52.5" customHeight="1">
      <c r="A79" s="11" t="s">
        <v>698</v>
      </c>
    </row>
    <row r="80" ht="24" customHeight="1">
      <c r="A80" s="11" t="s">
        <v>699</v>
      </c>
    </row>
    <row r="81" ht="33" customHeight="1">
      <c r="A81" s="462" t="s">
        <v>700</v>
      </c>
    </row>
    <row r="82" ht="111.75" customHeight="1">
      <c r="A82" s="462" t="s">
        <v>701</v>
      </c>
    </row>
    <row r="83" ht="135" customHeight="1">
      <c r="A83" s="683" t="s">
        <v>702</v>
      </c>
    </row>
    <row r="84" ht="75.75" customHeight="1">
      <c r="A84" s="683" t="s">
        <v>703</v>
      </c>
    </row>
    <row r="85" ht="65.25" customHeight="1">
      <c r="A85" s="683" t="s">
        <v>704</v>
      </c>
    </row>
    <row r="87" ht="31.5">
      <c r="A87" s="11" t="s">
        <v>705</v>
      </c>
    </row>
    <row r="89" ht="15.75">
      <c r="A89" s="11" t="s">
        <v>706</v>
      </c>
    </row>
    <row r="91" ht="47.25">
      <c r="A91" s="462" t="s">
        <v>707</v>
      </c>
    </row>
    <row r="92" ht="84.75" customHeight="1">
      <c r="A92" s="462" t="s">
        <v>708</v>
      </c>
    </row>
    <row r="93" ht="101.25" customHeight="1">
      <c r="A93" s="462" t="s">
        <v>709</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Y80" sqref="Y80"/>
    </sheetView>
  </sheetViews>
  <sheetFormatPr defaultColWidth="8.796875" defaultRowHeight="15"/>
  <cols>
    <col min="1" max="1" width="5.8984375" style="17" customWidth="1"/>
    <col min="2" max="2" width="20.796875" style="17" customWidth="1"/>
    <col min="3" max="3" width="9.796875" style="17" customWidth="1"/>
    <col min="4" max="4" width="10.796875" style="17" customWidth="1"/>
    <col min="5" max="5" width="12.8984375" style="17" customWidth="1"/>
    <col min="6" max="6" width="15.09765625" style="17" customWidth="1"/>
    <col min="7" max="12" width="9.796875" style="17" customWidth="1"/>
    <col min="13" max="16384" width="8.8984375" style="17" customWidth="1"/>
  </cols>
  <sheetData>
    <row r="1" spans="2:12" ht="15.75">
      <c r="B1" s="19">
        <f>inputPrYr!$D$3</f>
        <v>0</v>
      </c>
      <c r="C1" s="19"/>
      <c r="D1" s="19"/>
      <c r="E1" s="19"/>
      <c r="F1" s="19"/>
      <c r="G1" s="19"/>
      <c r="H1" s="19"/>
      <c r="I1" s="19"/>
      <c r="J1" s="19"/>
      <c r="K1" s="19"/>
      <c r="L1" s="173">
        <f>inputPrYr!D22</f>
        <v>0</v>
      </c>
    </row>
    <row r="2" spans="2:12" ht="15.75">
      <c r="B2" s="19">
        <f>inputPrYr!$D$4</f>
        <v>0</v>
      </c>
      <c r="C2" s="19"/>
      <c r="D2" s="19"/>
      <c r="E2" s="19"/>
      <c r="F2" s="19"/>
      <c r="G2" s="19"/>
      <c r="H2" s="19"/>
      <c r="I2" s="19"/>
      <c r="J2" s="19"/>
      <c r="K2" s="19"/>
      <c r="L2" s="152"/>
    </row>
    <row r="3" spans="2:12" ht="15.75">
      <c r="B3" s="19"/>
      <c r="C3" s="19"/>
      <c r="D3" s="19"/>
      <c r="E3" s="19"/>
      <c r="F3" s="19"/>
      <c r="G3" s="19"/>
      <c r="H3" s="19"/>
      <c r="I3" s="19"/>
      <c r="J3" s="19"/>
      <c r="K3" s="19"/>
      <c r="L3" s="152"/>
    </row>
    <row r="4" spans="2:12" s="174" customFormat="1" ht="15.75">
      <c r="B4" s="909" t="s">
        <v>74</v>
      </c>
      <c r="C4" s="904"/>
      <c r="D4" s="904"/>
      <c r="E4" s="904"/>
      <c r="F4" s="904"/>
      <c r="G4" s="904"/>
      <c r="H4" s="904"/>
      <c r="I4" s="904"/>
      <c r="J4" s="904"/>
      <c r="K4" s="904"/>
      <c r="L4" s="904"/>
    </row>
    <row r="5" spans="2:12" s="174" customFormat="1" ht="15.75">
      <c r="B5" s="175"/>
      <c r="C5" s="175"/>
      <c r="D5" s="175"/>
      <c r="E5" s="175"/>
      <c r="F5" s="175"/>
      <c r="G5" s="175"/>
      <c r="H5" s="175"/>
      <c r="I5" s="175"/>
      <c r="J5" s="175"/>
      <c r="K5" s="175"/>
      <c r="L5" s="175"/>
    </row>
    <row r="6" spans="2:12" s="174" customFormat="1" ht="15.75">
      <c r="B6" s="109" t="s">
        <v>593</v>
      </c>
      <c r="C6" s="109" t="s">
        <v>51</v>
      </c>
      <c r="D6" s="109" t="s">
        <v>59</v>
      </c>
      <c r="E6" s="109"/>
      <c r="F6" s="109" t="s">
        <v>23</v>
      </c>
      <c r="G6" s="176"/>
      <c r="H6" s="177"/>
      <c r="I6" s="176" t="s">
        <v>52</v>
      </c>
      <c r="J6" s="177"/>
      <c r="K6" s="176" t="s">
        <v>52</v>
      </c>
      <c r="L6" s="177"/>
    </row>
    <row r="7" spans="2:12" s="174" customFormat="1" ht="15.75">
      <c r="B7" s="84" t="s">
        <v>53</v>
      </c>
      <c r="C7" s="84" t="s">
        <v>53</v>
      </c>
      <c r="D7" s="84" t="s">
        <v>54</v>
      </c>
      <c r="E7" s="84" t="s">
        <v>23</v>
      </c>
      <c r="F7" s="84" t="s">
        <v>110</v>
      </c>
      <c r="G7" s="178" t="s">
        <v>55</v>
      </c>
      <c r="H7" s="179"/>
      <c r="I7" s="178">
        <f>L1-1</f>
        <v>-1</v>
      </c>
      <c r="J7" s="179"/>
      <c r="K7" s="178">
        <f>L1</f>
        <v>0</v>
      </c>
      <c r="L7" s="179"/>
    </row>
    <row r="8" spans="2:12" s="174" customFormat="1" ht="15.75">
      <c r="B8" s="86" t="s">
        <v>594</v>
      </c>
      <c r="C8" s="86" t="s">
        <v>56</v>
      </c>
      <c r="D8" s="86" t="s">
        <v>35</v>
      </c>
      <c r="E8" s="86" t="s">
        <v>57</v>
      </c>
      <c r="F8" s="180" t="str">
        <f>CONCATENATE("Jan 1,",L1-1,"")</f>
        <v>Jan 1,-1</v>
      </c>
      <c r="G8" s="114" t="s">
        <v>59</v>
      </c>
      <c r="H8" s="114" t="s">
        <v>60</v>
      </c>
      <c r="I8" s="114" t="s">
        <v>59</v>
      </c>
      <c r="J8" s="114" t="s">
        <v>60</v>
      </c>
      <c r="K8" s="114" t="s">
        <v>59</v>
      </c>
      <c r="L8" s="114" t="s">
        <v>60</v>
      </c>
    </row>
    <row r="9" spans="2:12" s="174" customFormat="1" ht="15.75">
      <c r="B9" s="31" t="s">
        <v>122</v>
      </c>
      <c r="C9" s="181"/>
      <c r="D9" s="31"/>
      <c r="E9" s="31"/>
      <c r="F9" s="31"/>
      <c r="G9" s="182"/>
      <c r="H9" s="182"/>
      <c r="I9" s="31"/>
      <c r="J9" s="31"/>
      <c r="K9" s="31"/>
      <c r="L9" s="31"/>
    </row>
    <row r="10" spans="2:12" s="174" customFormat="1" ht="15.75">
      <c r="B10" s="183"/>
      <c r="C10" s="325"/>
      <c r="D10" s="183"/>
      <c r="E10" s="183"/>
      <c r="F10" s="50"/>
      <c r="G10" s="184"/>
      <c r="H10" s="184"/>
      <c r="I10" s="183"/>
      <c r="J10" s="183"/>
      <c r="K10" s="183"/>
      <c r="L10" s="183"/>
    </row>
    <row r="11" spans="2:12" s="174" customFormat="1" ht="15.75">
      <c r="B11" s="35"/>
      <c r="C11" s="326"/>
      <c r="D11" s="185"/>
      <c r="E11" s="32"/>
      <c r="F11" s="32"/>
      <c r="G11" s="186"/>
      <c r="H11" s="186"/>
      <c r="I11" s="187"/>
      <c r="J11" s="187"/>
      <c r="K11" s="187"/>
      <c r="L11" s="187"/>
    </row>
    <row r="12" spans="2:12" s="174" customFormat="1" ht="15.75">
      <c r="B12" s="44" t="s">
        <v>123</v>
      </c>
      <c r="C12" s="188"/>
      <c r="D12" s="189"/>
      <c r="E12" s="122"/>
      <c r="F12" s="190">
        <f>SUM(F10:F11)</f>
        <v>0</v>
      </c>
      <c r="G12" s="191"/>
      <c r="H12" s="191"/>
      <c r="I12" s="190">
        <f>SUM(I10:I11)</f>
        <v>0</v>
      </c>
      <c r="J12" s="190">
        <f>SUM(J10:J11)</f>
        <v>0</v>
      </c>
      <c r="K12" s="190">
        <f>SUM(K10:K11)</f>
        <v>0</v>
      </c>
      <c r="L12" s="190">
        <f>SUM(L10:L11)</f>
        <v>0</v>
      </c>
    </row>
    <row r="13" spans="2:12" s="174" customFormat="1" ht="15.75">
      <c r="B13" s="44" t="s">
        <v>124</v>
      </c>
      <c r="C13" s="188"/>
      <c r="D13" s="189"/>
      <c r="E13" s="122"/>
      <c r="F13" s="126"/>
      <c r="G13" s="191"/>
      <c r="H13" s="191"/>
      <c r="I13" s="126"/>
      <c r="J13" s="126"/>
      <c r="K13" s="126"/>
      <c r="L13" s="126"/>
    </row>
    <row r="14" spans="2:12" s="174" customFormat="1" ht="15.75">
      <c r="B14" s="35"/>
      <c r="C14" s="326"/>
      <c r="D14" s="185"/>
      <c r="E14" s="32"/>
      <c r="F14" s="187"/>
      <c r="G14" s="186"/>
      <c r="H14" s="186"/>
      <c r="I14" s="187"/>
      <c r="J14" s="187"/>
      <c r="K14" s="187"/>
      <c r="L14" s="187"/>
    </row>
    <row r="15" spans="2:12" s="174" customFormat="1" ht="15.75">
      <c r="B15" s="35"/>
      <c r="C15" s="326"/>
      <c r="D15" s="185"/>
      <c r="E15" s="32"/>
      <c r="F15" s="187"/>
      <c r="G15" s="186"/>
      <c r="H15" s="186"/>
      <c r="I15" s="187"/>
      <c r="J15" s="187"/>
      <c r="K15" s="187"/>
      <c r="L15" s="187"/>
    </row>
    <row r="16" spans="2:12" s="174" customFormat="1" ht="15.75">
      <c r="B16" s="44" t="s">
        <v>125</v>
      </c>
      <c r="C16" s="188"/>
      <c r="D16" s="189"/>
      <c r="E16" s="122"/>
      <c r="F16" s="190">
        <f>SUM(F14:F15)</f>
        <v>0</v>
      </c>
      <c r="G16" s="191"/>
      <c r="H16" s="191"/>
      <c r="I16" s="190">
        <f>SUM(I14:I15)</f>
        <v>0</v>
      </c>
      <c r="J16" s="190">
        <f>SUM(J14:J15)</f>
        <v>0</v>
      </c>
      <c r="K16" s="190">
        <f>SUM(K14:K15)</f>
        <v>0</v>
      </c>
      <c r="L16" s="190">
        <f>SUM(L14:L15)</f>
        <v>0</v>
      </c>
    </row>
    <row r="17" spans="2:12" s="174" customFormat="1" ht="15.75">
      <c r="B17" s="44" t="s">
        <v>126</v>
      </c>
      <c r="C17" s="188"/>
      <c r="D17" s="189"/>
      <c r="E17" s="122"/>
      <c r="F17" s="126"/>
      <c r="G17" s="191"/>
      <c r="H17" s="191"/>
      <c r="I17" s="126"/>
      <c r="J17" s="126"/>
      <c r="K17" s="126"/>
      <c r="L17" s="126"/>
    </row>
    <row r="18" spans="2:12" s="174" customFormat="1" ht="15.75">
      <c r="B18" s="35"/>
      <c r="C18" s="326"/>
      <c r="D18" s="185"/>
      <c r="E18" s="32"/>
      <c r="F18" s="187"/>
      <c r="G18" s="186"/>
      <c r="H18" s="186"/>
      <c r="I18" s="187"/>
      <c r="J18" s="187"/>
      <c r="K18" s="187"/>
      <c r="L18" s="187"/>
    </row>
    <row r="19" spans="2:12" s="174" customFormat="1" ht="15.75">
      <c r="B19" s="35"/>
      <c r="C19" s="326"/>
      <c r="D19" s="185"/>
      <c r="E19" s="32"/>
      <c r="F19" s="187"/>
      <c r="G19" s="186"/>
      <c r="H19" s="186"/>
      <c r="I19" s="187"/>
      <c r="J19" s="187"/>
      <c r="K19" s="187"/>
      <c r="L19" s="187"/>
    </row>
    <row r="20" spans="2:12" s="174" customFormat="1" ht="15.75">
      <c r="B20" s="44" t="s">
        <v>127</v>
      </c>
      <c r="C20" s="188"/>
      <c r="D20" s="189"/>
      <c r="E20" s="122"/>
      <c r="F20" s="190">
        <f>SUM(F18:F19)</f>
        <v>0</v>
      </c>
      <c r="G20" s="191"/>
      <c r="H20" s="191"/>
      <c r="I20" s="190">
        <f>SUM(I18:I19)</f>
        <v>0</v>
      </c>
      <c r="J20" s="190">
        <f>SUM(J18:J19)</f>
        <v>0</v>
      </c>
      <c r="K20" s="190">
        <f>SUM(K18:K19)</f>
        <v>0</v>
      </c>
      <c r="L20" s="190">
        <f>SUM(L18:L19)</f>
        <v>0</v>
      </c>
    </row>
    <row r="21" spans="2:12" s="174" customFormat="1" ht="15.75">
      <c r="B21" s="192" t="s">
        <v>75</v>
      </c>
      <c r="C21" s="487"/>
      <c r="D21" s="487"/>
      <c r="E21" s="488"/>
      <c r="F21" s="194">
        <f>SUM(F12+F16+F20)</f>
        <v>0</v>
      </c>
      <c r="G21" s="487"/>
      <c r="H21" s="487"/>
      <c r="I21" s="194">
        <f>SUM(I12+I16+I20)</f>
        <v>0</v>
      </c>
      <c r="J21" s="194">
        <f>SUM(J12+J16+J20)</f>
        <v>0</v>
      </c>
      <c r="K21" s="194">
        <f>SUM(K12+K16+K20)</f>
        <v>0</v>
      </c>
      <c r="L21" s="194">
        <f>SUM(L12+L16+L20)</f>
        <v>0</v>
      </c>
    </row>
    <row r="22" spans="2:25" s="174" customFormat="1" ht="15.75">
      <c r="B22" s="19"/>
      <c r="C22" s="19"/>
      <c r="D22" s="22"/>
      <c r="E22" s="22"/>
      <c r="F22" s="22"/>
      <c r="G22" s="22"/>
      <c r="H22" s="22"/>
      <c r="I22" s="22"/>
      <c r="J22" s="22"/>
      <c r="K22" s="22"/>
      <c r="L22" s="22"/>
      <c r="M22" s="5"/>
      <c r="N22" s="5"/>
      <c r="O22" s="5"/>
      <c r="P22" s="5"/>
      <c r="Q22" s="5"/>
      <c r="R22" s="5"/>
      <c r="S22" s="5"/>
      <c r="T22" s="5"/>
      <c r="U22" s="5"/>
      <c r="V22" s="5"/>
      <c r="W22" s="5"/>
      <c r="X22" s="5"/>
      <c r="Y22" s="5"/>
    </row>
    <row r="23" spans="2:12" s="197" customFormat="1" ht="15.75">
      <c r="B23" s="909" t="s">
        <v>69</v>
      </c>
      <c r="C23" s="904"/>
      <c r="D23" s="904"/>
      <c r="E23" s="904"/>
      <c r="F23" s="904"/>
      <c r="G23" s="904"/>
      <c r="H23" s="904"/>
      <c r="I23" s="904"/>
      <c r="J23" s="195"/>
      <c r="K23" s="195"/>
      <c r="L23" s="196"/>
    </row>
    <row r="24" spans="2:12" s="197" customFormat="1" ht="15.75">
      <c r="B24" s="22"/>
      <c r="C24" s="104"/>
      <c r="D24" s="104"/>
      <c r="E24" s="104"/>
      <c r="F24" s="104"/>
      <c r="G24" s="104"/>
      <c r="H24" s="104"/>
      <c r="I24" s="104"/>
      <c r="J24" s="115"/>
      <c r="K24" s="115"/>
      <c r="L24" s="196"/>
    </row>
    <row r="25" spans="2:12" s="197" customFormat="1" ht="15.75">
      <c r="B25" s="198"/>
      <c r="C25" s="198"/>
      <c r="D25" s="109" t="s">
        <v>58</v>
      </c>
      <c r="E25" s="198"/>
      <c r="F25" s="109" t="s">
        <v>7</v>
      </c>
      <c r="G25" s="198"/>
      <c r="H25" s="198"/>
      <c r="I25" s="198"/>
      <c r="J25" s="199"/>
      <c r="K25" s="200"/>
      <c r="L25" s="196"/>
    </row>
    <row r="26" spans="2:12" s="197" customFormat="1" ht="15.75">
      <c r="B26" s="201"/>
      <c r="C26" s="84"/>
      <c r="D26" s="84" t="s">
        <v>53</v>
      </c>
      <c r="E26" s="84" t="s">
        <v>59</v>
      </c>
      <c r="F26" s="84" t="s">
        <v>23</v>
      </c>
      <c r="G26" s="84" t="s">
        <v>60</v>
      </c>
      <c r="H26" s="84" t="s">
        <v>61</v>
      </c>
      <c r="I26" s="84" t="s">
        <v>61</v>
      </c>
      <c r="J26" s="196"/>
      <c r="K26" s="196"/>
      <c r="L26" s="196"/>
    </row>
    <row r="27" spans="2:12" s="197" customFormat="1" ht="15.75">
      <c r="B27" s="84" t="s">
        <v>595</v>
      </c>
      <c r="C27" s="84" t="s">
        <v>62</v>
      </c>
      <c r="D27" s="84" t="s">
        <v>63</v>
      </c>
      <c r="E27" s="84" t="s">
        <v>54</v>
      </c>
      <c r="F27" s="84" t="s">
        <v>64</v>
      </c>
      <c r="G27" s="84" t="s">
        <v>100</v>
      </c>
      <c r="H27" s="84" t="s">
        <v>65</v>
      </c>
      <c r="I27" s="84" t="s">
        <v>65</v>
      </c>
      <c r="J27" s="196"/>
      <c r="K27" s="196"/>
      <c r="L27" s="196"/>
    </row>
    <row r="28" spans="2:12" s="197" customFormat="1" ht="15.75">
      <c r="B28" s="86" t="s">
        <v>596</v>
      </c>
      <c r="C28" s="86" t="s">
        <v>51</v>
      </c>
      <c r="D28" s="202" t="s">
        <v>66</v>
      </c>
      <c r="E28" s="86" t="s">
        <v>35</v>
      </c>
      <c r="F28" s="202" t="s">
        <v>111</v>
      </c>
      <c r="G28" s="180" t="str">
        <f>F8</f>
        <v>Jan 1,-1</v>
      </c>
      <c r="H28" s="86">
        <f>L1-1</f>
        <v>-1</v>
      </c>
      <c r="I28" s="86">
        <f>L1</f>
        <v>0</v>
      </c>
      <c r="J28" s="196"/>
      <c r="K28" s="196"/>
      <c r="L28" s="196"/>
    </row>
    <row r="29" spans="2:12" s="197" customFormat="1" ht="15.75">
      <c r="B29" s="35"/>
      <c r="C29" s="326"/>
      <c r="D29" s="203"/>
      <c r="E29" s="185"/>
      <c r="F29" s="32"/>
      <c r="G29" s="32"/>
      <c r="H29" s="32"/>
      <c r="I29" s="32"/>
      <c r="J29" s="196"/>
      <c r="K29" s="196"/>
      <c r="L29" s="196"/>
    </row>
    <row r="30" spans="2:12" s="197" customFormat="1" ht="15.75">
      <c r="B30" s="35"/>
      <c r="C30" s="326"/>
      <c r="D30" s="203"/>
      <c r="E30" s="185"/>
      <c r="F30" s="32"/>
      <c r="G30" s="32"/>
      <c r="H30" s="32"/>
      <c r="I30" s="32"/>
      <c r="J30" s="196"/>
      <c r="K30" s="196"/>
      <c r="L30" s="196"/>
    </row>
    <row r="31" spans="2:12" s="197" customFormat="1" ht="15.75">
      <c r="B31" s="35"/>
      <c r="C31" s="326"/>
      <c r="D31" s="203"/>
      <c r="E31" s="185"/>
      <c r="F31" s="32"/>
      <c r="G31" s="32"/>
      <c r="H31" s="32"/>
      <c r="I31" s="32"/>
      <c r="J31" s="196"/>
      <c r="K31" s="196"/>
      <c r="L31" s="196"/>
    </row>
    <row r="32" spans="2:12" s="197" customFormat="1" ht="15.75">
      <c r="B32" s="35"/>
      <c r="C32" s="326"/>
      <c r="D32" s="203"/>
      <c r="E32" s="185"/>
      <c r="F32" s="32"/>
      <c r="G32" s="32"/>
      <c r="H32" s="32"/>
      <c r="I32" s="32"/>
      <c r="J32" s="196"/>
      <c r="K32" s="196"/>
      <c r="L32" s="196"/>
    </row>
    <row r="33" spans="2:12" s="197" customFormat="1" ht="15.75">
      <c r="B33" s="35"/>
      <c r="C33" s="326"/>
      <c r="D33" s="203"/>
      <c r="E33" s="185"/>
      <c r="F33" s="32"/>
      <c r="G33" s="32"/>
      <c r="H33" s="32"/>
      <c r="I33" s="32"/>
      <c r="J33" s="196"/>
      <c r="K33" s="196"/>
      <c r="L33" s="196"/>
    </row>
    <row r="34" spans="2:12" s="197" customFormat="1" ht="15.75">
      <c r="B34" s="35"/>
      <c r="C34" s="326"/>
      <c r="D34" s="203"/>
      <c r="E34" s="185"/>
      <c r="F34" s="32"/>
      <c r="G34" s="32"/>
      <c r="H34" s="32"/>
      <c r="I34" s="32"/>
      <c r="J34" s="196"/>
      <c r="K34" s="196"/>
      <c r="L34" s="196"/>
    </row>
    <row r="35" spans="2:12" s="197" customFormat="1" ht="15.75">
      <c r="B35" s="35"/>
      <c r="C35" s="326"/>
      <c r="D35" s="203"/>
      <c r="E35" s="185"/>
      <c r="F35" s="32"/>
      <c r="G35" s="32"/>
      <c r="H35" s="32"/>
      <c r="I35" s="32"/>
      <c r="J35" s="196"/>
      <c r="K35" s="196"/>
      <c r="L35" s="196"/>
    </row>
    <row r="36" spans="2:12" s="197" customFormat="1" ht="15.75">
      <c r="B36" s="35"/>
      <c r="C36" s="326"/>
      <c r="D36" s="203"/>
      <c r="E36" s="185"/>
      <c r="F36" s="32"/>
      <c r="G36" s="32"/>
      <c r="H36" s="32"/>
      <c r="I36" s="32"/>
      <c r="J36" s="196"/>
      <c r="K36" s="196"/>
      <c r="L36" s="196"/>
    </row>
    <row r="37" spans="2:12" s="197" customFormat="1" ht="15.75">
      <c r="B37" s="35"/>
      <c r="C37" s="326"/>
      <c r="D37" s="203"/>
      <c r="E37" s="185"/>
      <c r="F37" s="32"/>
      <c r="G37" s="32"/>
      <c r="H37" s="32"/>
      <c r="I37" s="32"/>
      <c r="J37" s="196"/>
      <c r="K37" s="196"/>
      <c r="L37" s="196"/>
    </row>
    <row r="38" spans="2:12" s="197" customFormat="1" ht="15.75">
      <c r="B38" s="35"/>
      <c r="C38" s="326"/>
      <c r="D38" s="203"/>
      <c r="E38" s="185"/>
      <c r="F38" s="32"/>
      <c r="G38" s="32"/>
      <c r="H38" s="32"/>
      <c r="I38" s="32"/>
      <c r="J38" s="196"/>
      <c r="K38" s="196"/>
      <c r="L38" s="196"/>
    </row>
    <row r="39" spans="2:12" s="197" customFormat="1" ht="15.75">
      <c r="B39" s="35"/>
      <c r="C39" s="326"/>
      <c r="D39" s="203"/>
      <c r="E39" s="185"/>
      <c r="F39" s="32"/>
      <c r="G39" s="32"/>
      <c r="H39" s="32"/>
      <c r="I39" s="32"/>
      <c r="J39" s="196"/>
      <c r="K39" s="196"/>
      <c r="L39" s="196"/>
    </row>
    <row r="40" spans="2:12" s="197" customFormat="1" ht="15.75">
      <c r="B40" s="35"/>
      <c r="C40" s="326"/>
      <c r="D40" s="203"/>
      <c r="E40" s="185"/>
      <c r="F40" s="32"/>
      <c r="G40" s="32"/>
      <c r="H40" s="32"/>
      <c r="I40" s="32"/>
      <c r="J40" s="196"/>
      <c r="K40" s="196"/>
      <c r="L40" s="196"/>
    </row>
    <row r="41" spans="2:12" s="174" customFormat="1" ht="15.75">
      <c r="B41" s="196"/>
      <c r="C41" s="193"/>
      <c r="D41" s="193"/>
      <c r="E41" s="489" t="s">
        <v>75</v>
      </c>
      <c r="F41" s="490">
        <f>SUM(F29:F40)</f>
        <v>0</v>
      </c>
      <c r="G41" s="194">
        <f>SUM(G29:G40)</f>
        <v>0</v>
      </c>
      <c r="H41" s="194">
        <f>SUM(H29:H40)</f>
        <v>0</v>
      </c>
      <c r="I41" s="194">
        <f>SUM(I29:I40)</f>
        <v>0</v>
      </c>
      <c r="J41" s="175"/>
      <c r="K41" s="175"/>
      <c r="L41" s="204"/>
    </row>
    <row r="42" spans="2:12" ht="15.75">
      <c r="B42" s="19"/>
      <c r="C42" s="19"/>
      <c r="D42" s="19"/>
      <c r="E42" s="19"/>
      <c r="F42" s="19"/>
      <c r="G42" s="19"/>
      <c r="H42" s="19"/>
      <c r="I42" s="19"/>
      <c r="J42" s="19"/>
      <c r="K42" s="19"/>
      <c r="L42" s="19"/>
    </row>
    <row r="43" spans="2:12" ht="15.75">
      <c r="B43" s="205" t="s">
        <v>182</v>
      </c>
      <c r="C43" s="206"/>
      <c r="D43" s="206"/>
      <c r="E43" s="206"/>
      <c r="F43" s="206"/>
      <c r="G43" s="206"/>
      <c r="H43" s="206"/>
      <c r="I43" s="19"/>
      <c r="J43" s="19"/>
      <c r="K43" s="19"/>
      <c r="L43" s="19"/>
    </row>
  </sheetData>
  <sheetProtection sheet="1" objects="1" scenarios="1"/>
  <mergeCells count="2">
    <mergeCell ref="B4:L4"/>
    <mergeCell ref="B23:I23"/>
  </mergeCells>
  <printOptions/>
  <pageMargins left="0.5" right="0.5" top="1" bottom="0.25" header="0.5" footer="0.25"/>
  <pageSetup blackAndWhite="1" fitToHeight="1" fitToWidth="1" horizontalDpi="120" verticalDpi="12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U140" sqref="U140"/>
    </sheetView>
  </sheetViews>
  <sheetFormatPr defaultColWidth="8.796875" defaultRowHeight="15"/>
  <cols>
    <col min="1" max="1" width="2.59765625" style="668" customWidth="1"/>
    <col min="2" max="4" width="8.8984375" style="668" customWidth="1"/>
    <col min="5" max="5" width="9.69921875" style="668" customWidth="1"/>
    <col min="6" max="6" width="8.8984375" style="668" customWidth="1"/>
    <col min="7" max="7" width="9.69921875" style="668" customWidth="1"/>
    <col min="8" max="16384" width="8.8984375" style="668" customWidth="1"/>
  </cols>
  <sheetData>
    <row r="1" spans="2:9" ht="15.75">
      <c r="B1" s="669"/>
      <c r="C1" s="669"/>
      <c r="D1" s="669"/>
      <c r="E1" s="669"/>
      <c r="F1" s="669"/>
      <c r="G1" s="669"/>
      <c r="H1" s="669"/>
      <c r="I1" s="669"/>
    </row>
    <row r="2" spans="2:9" ht="15.75">
      <c r="B2" s="910" t="s">
        <v>621</v>
      </c>
      <c r="C2" s="910"/>
      <c r="D2" s="910"/>
      <c r="E2" s="910"/>
      <c r="F2" s="910"/>
      <c r="G2" s="910"/>
      <c r="H2" s="910"/>
      <c r="I2" s="910"/>
    </row>
    <row r="3" spans="2:9" ht="15.75">
      <c r="B3" s="910" t="s">
        <v>622</v>
      </c>
      <c r="C3" s="910"/>
      <c r="D3" s="910"/>
      <c r="E3" s="910"/>
      <c r="F3" s="910"/>
      <c r="G3" s="910"/>
      <c r="H3" s="910"/>
      <c r="I3" s="910"/>
    </row>
    <row r="4" spans="2:9" ht="15.75">
      <c r="B4" s="667"/>
      <c r="C4" s="667"/>
      <c r="D4" s="667"/>
      <c r="E4" s="667"/>
      <c r="F4" s="667"/>
      <c r="G4" s="667"/>
      <c r="H4" s="667"/>
      <c r="I4" s="667"/>
    </row>
    <row r="5" spans="2:9" ht="15.75">
      <c r="B5" s="911" t="str">
        <f>CONCATENATE("Budgeted Year: ",inputPrYr!D22,"")</f>
        <v>Budgeted Year: </v>
      </c>
      <c r="C5" s="911"/>
      <c r="D5" s="911"/>
      <c r="E5" s="911"/>
      <c r="F5" s="911"/>
      <c r="G5" s="911"/>
      <c r="H5" s="911"/>
      <c r="I5" s="911"/>
    </row>
    <row r="6" spans="2:9" ht="15.75">
      <c r="B6" s="666"/>
      <c r="C6" s="667"/>
      <c r="D6" s="667"/>
      <c r="E6" s="667"/>
      <c r="F6" s="667"/>
      <c r="G6" s="667"/>
      <c r="H6" s="667"/>
      <c r="I6" s="667"/>
    </row>
    <row r="7" spans="2:9" ht="15.75">
      <c r="B7" s="666" t="str">
        <f>CONCATENATE("Library found in: ",inputPrYr!D3,"")</f>
        <v>Library found in: </v>
      </c>
      <c r="C7" s="667"/>
      <c r="D7" s="667"/>
      <c r="E7" s="667"/>
      <c r="F7" s="667"/>
      <c r="G7" s="667"/>
      <c r="H7" s="667"/>
      <c r="I7" s="667"/>
    </row>
    <row r="8" spans="2:9" ht="15.75">
      <c r="B8" s="547">
        <f>inputPrYr!D4</f>
        <v>0</v>
      </c>
      <c r="C8" s="667"/>
      <c r="D8" s="667"/>
      <c r="E8" s="667"/>
      <c r="F8" s="667"/>
      <c r="G8" s="667"/>
      <c r="H8" s="667"/>
      <c r="I8" s="667"/>
    </row>
    <row r="9" spans="2:9" ht="15.75">
      <c r="B9" s="667"/>
      <c r="C9" s="667"/>
      <c r="D9" s="667"/>
      <c r="E9" s="667"/>
      <c r="F9" s="667"/>
      <c r="G9" s="667"/>
      <c r="H9" s="667"/>
      <c r="I9" s="667"/>
    </row>
    <row r="10" spans="2:9" ht="39" customHeight="1">
      <c r="B10" s="912" t="s">
        <v>623</v>
      </c>
      <c r="C10" s="912"/>
      <c r="D10" s="912"/>
      <c r="E10" s="912"/>
      <c r="F10" s="912"/>
      <c r="G10" s="912"/>
      <c r="H10" s="912"/>
      <c r="I10" s="912"/>
    </row>
    <row r="11" spans="2:9" ht="15.75">
      <c r="B11" s="667"/>
      <c r="C11" s="667"/>
      <c r="D11" s="667"/>
      <c r="E11" s="667"/>
      <c r="F11" s="667"/>
      <c r="G11" s="667"/>
      <c r="H11" s="667"/>
      <c r="I11" s="667"/>
    </row>
    <row r="12" spans="2:9" ht="15.75">
      <c r="B12" s="674" t="s">
        <v>624</v>
      </c>
      <c r="C12" s="667"/>
      <c r="D12" s="667"/>
      <c r="E12" s="667"/>
      <c r="F12" s="667"/>
      <c r="G12" s="667"/>
      <c r="H12" s="667"/>
      <c r="I12" s="667"/>
    </row>
    <row r="13" spans="2:9" ht="15.75">
      <c r="B13" s="667"/>
      <c r="C13" s="667"/>
      <c r="D13" s="667"/>
      <c r="E13" s="673" t="s">
        <v>625</v>
      </c>
      <c r="F13" s="667"/>
      <c r="G13" s="673" t="s">
        <v>626</v>
      </c>
      <c r="H13" s="667"/>
      <c r="I13" s="667"/>
    </row>
    <row r="14" spans="2:9" ht="15.75">
      <c r="B14" s="667"/>
      <c r="C14" s="667"/>
      <c r="D14" s="667"/>
      <c r="E14" s="672">
        <f>inputPrYr!D22-1</f>
        <v>-1</v>
      </c>
      <c r="F14" s="667"/>
      <c r="G14" s="672">
        <f>inputPrYr!D22</f>
        <v>0</v>
      </c>
      <c r="H14" s="667"/>
      <c r="I14" s="667"/>
    </row>
    <row r="15" spans="2:9" ht="15.75">
      <c r="B15" s="666" t="str">
        <f>'[2]DebtSvs-Library'!B48</f>
        <v>Unencumbered Cash Balance Jan 1</v>
      </c>
      <c r="C15" s="667"/>
      <c r="D15" s="667"/>
      <c r="E15" s="671">
        <f>gen!D9</f>
        <v>0</v>
      </c>
      <c r="F15" s="667"/>
      <c r="G15" s="671">
        <f>gen!E70</f>
        <v>0</v>
      </c>
      <c r="H15" s="667"/>
      <c r="I15" s="667"/>
    </row>
    <row r="16" spans="2:9" ht="15.75">
      <c r="B16" s="666" t="str">
        <f>'[2]DebtSvs-Library'!B49</f>
        <v>Receipts:</v>
      </c>
      <c r="C16" s="667"/>
      <c r="D16" s="667"/>
      <c r="E16" s="671">
        <f>gen!D10</f>
        <v>0</v>
      </c>
      <c r="F16" s="667"/>
      <c r="G16" s="671">
        <f>gen!E10</f>
        <v>0</v>
      </c>
      <c r="H16" s="667"/>
      <c r="I16" s="667"/>
    </row>
    <row r="17" spans="2:9" ht="15.75">
      <c r="B17" s="666" t="str">
        <f>'[2]DebtSvs-Library'!B50</f>
        <v>Ad Valorem Tax</v>
      </c>
      <c r="C17" s="667"/>
      <c r="D17" s="667"/>
      <c r="E17" s="671">
        <f>gen!D11</f>
        <v>0</v>
      </c>
      <c r="F17" s="667"/>
      <c r="G17" s="671">
        <f>gen!E11</f>
        <v>0</v>
      </c>
      <c r="H17" s="667"/>
      <c r="I17" s="667"/>
    </row>
    <row r="18" spans="2:9" ht="15.75">
      <c r="B18" s="666" t="str">
        <f>'[2]DebtSvs-Library'!B51</f>
        <v>Delinquent Tax</v>
      </c>
      <c r="C18" s="667"/>
      <c r="D18" s="667"/>
      <c r="E18" s="671">
        <f>gen!D12</f>
        <v>0</v>
      </c>
      <c r="F18" s="667"/>
      <c r="G18" s="671">
        <f>gen!E12</f>
        <v>0</v>
      </c>
      <c r="H18" s="667"/>
      <c r="I18" s="667"/>
    </row>
    <row r="19" spans="2:9" ht="15.75">
      <c r="B19" s="666" t="str">
        <f>'[2]DebtSvs-Library'!B52</f>
        <v>Motor Vehicle Tax</v>
      </c>
      <c r="C19" s="667"/>
      <c r="D19" s="667"/>
      <c r="E19" s="671">
        <f>gen!D13</f>
        <v>0</v>
      </c>
      <c r="F19" s="667"/>
      <c r="G19" s="671">
        <f>gen!E13</f>
        <v>0</v>
      </c>
      <c r="H19" s="667"/>
      <c r="I19" s="667"/>
    </row>
    <row r="20" spans="2:9" ht="15.75">
      <c r="B20" s="667" t="s">
        <v>135</v>
      </c>
      <c r="C20" s="667"/>
      <c r="D20" s="667"/>
      <c r="E20" s="671">
        <f>gen!D16</f>
        <v>0</v>
      </c>
      <c r="F20" s="667"/>
      <c r="G20" s="671">
        <f>gen!E16</f>
        <v>0</v>
      </c>
      <c r="H20" s="667"/>
      <c r="I20" s="667"/>
    </row>
    <row r="21" spans="2:9" ht="15.75">
      <c r="B21" s="667"/>
      <c r="C21" s="667"/>
      <c r="D21" s="667"/>
      <c r="E21" s="671">
        <v>0</v>
      </c>
      <c r="F21" s="667"/>
      <c r="G21" s="671">
        <v>0</v>
      </c>
      <c r="H21" s="667"/>
      <c r="I21" s="667"/>
    </row>
    <row r="22" spans="2:9" ht="15.75">
      <c r="B22" s="667" t="s">
        <v>627</v>
      </c>
      <c r="C22" s="667"/>
      <c r="D22" s="667"/>
      <c r="E22" s="670">
        <f>SUM(E15:E21)</f>
        <v>0</v>
      </c>
      <c r="F22" s="667"/>
      <c r="G22" s="670">
        <f>SUM(G15:G21)</f>
        <v>0</v>
      </c>
      <c r="H22" s="667"/>
      <c r="I22" s="667"/>
    </row>
    <row r="23" spans="2:9" ht="15.75">
      <c r="B23" s="667" t="s">
        <v>628</v>
      </c>
      <c r="C23" s="667"/>
      <c r="D23" s="667"/>
      <c r="E23" s="665">
        <f>G22-E22</f>
        <v>0</v>
      </c>
      <c r="F23" s="667"/>
      <c r="G23" s="664"/>
      <c r="H23" s="667"/>
      <c r="I23" s="667"/>
    </row>
    <row r="24" spans="2:9" ht="15.75">
      <c r="B24" s="667" t="s">
        <v>629</v>
      </c>
      <c r="C24" s="667"/>
      <c r="D24" s="663" t="str">
        <f>IF((G22-E22)&gt;=0,"Qualify","Not Qualify")</f>
        <v>Qualify</v>
      </c>
      <c r="E24" s="667"/>
      <c r="F24" s="667"/>
      <c r="G24" s="667"/>
      <c r="H24" s="667"/>
      <c r="I24" s="667"/>
    </row>
    <row r="25" spans="2:9" ht="15.75">
      <c r="B25" s="667"/>
      <c r="C25" s="667"/>
      <c r="D25" s="667"/>
      <c r="E25" s="667"/>
      <c r="F25" s="667"/>
      <c r="G25" s="667"/>
      <c r="H25" s="667"/>
      <c r="I25" s="667"/>
    </row>
    <row r="26" spans="2:9" ht="15.75">
      <c r="B26" s="674" t="s">
        <v>630</v>
      </c>
      <c r="C26" s="667"/>
      <c r="D26" s="667"/>
      <c r="E26" s="667"/>
      <c r="F26" s="667"/>
      <c r="G26" s="667"/>
      <c r="H26" s="667"/>
      <c r="I26" s="667"/>
    </row>
    <row r="27" spans="2:9" ht="15.75">
      <c r="B27" s="667" t="s">
        <v>143</v>
      </c>
      <c r="C27" s="667"/>
      <c r="D27" s="667"/>
      <c r="E27" s="671">
        <f>summ!D33</f>
        <v>0</v>
      </c>
      <c r="F27" s="667"/>
      <c r="G27" s="671">
        <f>summ!F33</f>
        <v>0</v>
      </c>
      <c r="H27" s="667"/>
      <c r="I27" s="667"/>
    </row>
    <row r="28" spans="2:9" ht="15.75">
      <c r="B28" s="667" t="s">
        <v>631</v>
      </c>
      <c r="C28" s="667"/>
      <c r="D28" s="667"/>
      <c r="E28" s="662" t="str">
        <f>IF(G27-E27&gt;=0,"No","Yes")</f>
        <v>No</v>
      </c>
      <c r="F28" s="667"/>
      <c r="G28" s="667"/>
      <c r="H28" s="667"/>
      <c r="I28" s="667"/>
    </row>
    <row r="29" spans="2:9" ht="15.75">
      <c r="B29" s="667" t="s">
        <v>632</v>
      </c>
      <c r="C29" s="667"/>
      <c r="D29" s="667"/>
      <c r="E29" s="673" t="str">
        <f>summ!E21</f>
        <v>  </v>
      </c>
      <c r="F29" s="667"/>
      <c r="G29" s="661" t="str">
        <f>summ!H21</f>
        <v> </v>
      </c>
      <c r="H29" s="667"/>
      <c r="I29" s="667"/>
    </row>
    <row r="30" spans="2:9" ht="15.75">
      <c r="B30" s="667" t="s">
        <v>633</v>
      </c>
      <c r="C30" s="667"/>
      <c r="D30" s="667"/>
      <c r="E30" s="660" t="e">
        <f>G29-E29</f>
        <v>#VALUE!</v>
      </c>
      <c r="F30" s="667"/>
      <c r="G30" s="667"/>
      <c r="H30" s="667"/>
      <c r="I30" s="667"/>
    </row>
    <row r="31" spans="2:9" ht="15.75">
      <c r="B31" s="667" t="s">
        <v>629</v>
      </c>
      <c r="C31" s="667"/>
      <c r="D31" s="659" t="e">
        <f>IF(E30&gt;=0,"Qualify","Not Qualify")</f>
        <v>#VALUE!</v>
      </c>
      <c r="E31" s="667"/>
      <c r="F31" s="667"/>
      <c r="G31" s="667"/>
      <c r="H31" s="667"/>
      <c r="I31" s="667"/>
    </row>
    <row r="32" spans="2:9" ht="15.75">
      <c r="B32" s="667"/>
      <c r="C32" s="667"/>
      <c r="D32" s="667"/>
      <c r="E32" s="667"/>
      <c r="F32" s="667"/>
      <c r="G32" s="667"/>
      <c r="H32" s="667"/>
      <c r="I32" s="667"/>
    </row>
    <row r="33" spans="2:9" ht="15.75">
      <c r="B33" s="667" t="s">
        <v>634</v>
      </c>
      <c r="C33" s="667"/>
      <c r="D33" s="667"/>
      <c r="E33" s="667"/>
      <c r="F33" s="658" t="str">
        <f>IF(D24="Not Qualify",IF(D31="Not Qualify",IF(D31="Not Qualify","Not Qualify","Qualify"),"Qualify"),"Qualify")</f>
        <v>Qualify</v>
      </c>
      <c r="G33" s="667"/>
      <c r="H33" s="667"/>
      <c r="I33" s="667"/>
    </row>
    <row r="34" spans="2:9" ht="15.75">
      <c r="B34" s="667"/>
      <c r="C34" s="667"/>
      <c r="D34" s="667"/>
      <c r="E34" s="667"/>
      <c r="F34" s="667"/>
      <c r="G34" s="667"/>
      <c r="H34" s="667"/>
      <c r="I34" s="667"/>
    </row>
    <row r="35" spans="2:9" ht="15.75">
      <c r="B35" s="667"/>
      <c r="C35" s="667"/>
      <c r="D35" s="667"/>
      <c r="E35" s="667"/>
      <c r="F35" s="667"/>
      <c r="G35" s="667"/>
      <c r="H35" s="667"/>
      <c r="I35" s="667"/>
    </row>
    <row r="36" spans="2:9" ht="37.5" customHeight="1">
      <c r="B36" s="912" t="s">
        <v>635</v>
      </c>
      <c r="C36" s="912"/>
      <c r="D36" s="912"/>
      <c r="E36" s="912"/>
      <c r="F36" s="912"/>
      <c r="G36" s="912"/>
      <c r="H36" s="912"/>
      <c r="I36" s="912"/>
    </row>
    <row r="37" spans="2:9" ht="15.75">
      <c r="B37" s="667"/>
      <c r="C37" s="667"/>
      <c r="D37" s="667"/>
      <c r="E37" s="667"/>
      <c r="F37" s="667"/>
      <c r="G37" s="667"/>
      <c r="H37" s="667"/>
      <c r="I37" s="667"/>
    </row>
    <row r="38" spans="2:9" ht="15.75">
      <c r="B38" s="667"/>
      <c r="C38" s="667"/>
      <c r="D38" s="667"/>
      <c r="E38" s="667"/>
      <c r="F38" s="667"/>
      <c r="G38" s="667"/>
      <c r="H38" s="667"/>
      <c r="I38" s="667"/>
    </row>
    <row r="39" spans="2:9" ht="15.75">
      <c r="B39" s="667"/>
      <c r="C39" s="667"/>
      <c r="D39" s="667"/>
      <c r="E39" s="667"/>
      <c r="F39" s="667"/>
      <c r="G39" s="667"/>
      <c r="H39" s="667"/>
      <c r="I39" s="667"/>
    </row>
    <row r="40" spans="2:9" ht="15.75">
      <c r="B40" s="667"/>
      <c r="C40" s="667"/>
      <c r="D40" s="667"/>
      <c r="E40" s="657" t="s">
        <v>636</v>
      </c>
      <c r="F40" s="656">
        <v>6</v>
      </c>
      <c r="G40" s="667"/>
      <c r="H40" s="667"/>
      <c r="I40" s="667"/>
    </row>
    <row r="41" spans="2:9" ht="15.75">
      <c r="B41" s="667"/>
      <c r="C41" s="667"/>
      <c r="D41" s="667"/>
      <c r="E41" s="667"/>
      <c r="F41" s="667"/>
      <c r="G41" s="667"/>
      <c r="H41" s="667"/>
      <c r="I41" s="667"/>
    </row>
    <row r="42" spans="2:9" ht="15.75">
      <c r="B42" s="667"/>
      <c r="C42" s="667"/>
      <c r="D42" s="667"/>
      <c r="E42" s="667"/>
      <c r="F42" s="667"/>
      <c r="G42" s="667"/>
      <c r="H42" s="667"/>
      <c r="I42" s="667"/>
    </row>
    <row r="43" spans="2:9" ht="15.75">
      <c r="B43" s="913" t="s">
        <v>637</v>
      </c>
      <c r="C43" s="914"/>
      <c r="D43" s="914"/>
      <c r="E43" s="914"/>
      <c r="F43" s="914"/>
      <c r="G43" s="914"/>
      <c r="H43" s="914"/>
      <c r="I43" s="914"/>
    </row>
    <row r="44" spans="2:9" ht="15.75">
      <c r="B44" s="667"/>
      <c r="C44" s="667"/>
      <c r="D44" s="667"/>
      <c r="E44" s="667"/>
      <c r="F44" s="667"/>
      <c r="G44" s="667"/>
      <c r="H44" s="667"/>
      <c r="I44" s="667"/>
    </row>
    <row r="45" spans="2:9" ht="15.75">
      <c r="B45" s="655" t="s">
        <v>638</v>
      </c>
      <c r="C45" s="667"/>
      <c r="D45" s="667"/>
      <c r="E45" s="667"/>
      <c r="F45" s="667"/>
      <c r="G45" s="667"/>
      <c r="H45" s="667"/>
      <c r="I45" s="667"/>
    </row>
    <row r="46" spans="2:9" ht="15.75">
      <c r="B46" s="655" t="str">
        <f>CONCATENATE("sources in your ",G14," library fund is not equal to or greater than the amount from the same")</f>
        <v>sources in your 0 library fund is not equal to or greater than the amount from the same</v>
      </c>
      <c r="C46" s="667"/>
      <c r="D46" s="667"/>
      <c r="E46" s="667"/>
      <c r="F46" s="667"/>
      <c r="G46" s="667"/>
      <c r="H46" s="667"/>
      <c r="I46" s="667"/>
    </row>
    <row r="47" spans="2:9" ht="15.75">
      <c r="B47" s="655" t="str">
        <f>CONCATENATE("sources in ",E14,".")</f>
        <v>sources in -1.</v>
      </c>
      <c r="C47" s="669"/>
      <c r="D47" s="669"/>
      <c r="E47" s="669"/>
      <c r="F47" s="669"/>
      <c r="G47" s="669"/>
      <c r="H47" s="669"/>
      <c r="I47" s="669"/>
    </row>
    <row r="48" spans="2:9" ht="15.75">
      <c r="B48" s="669"/>
      <c r="C48" s="669"/>
      <c r="D48" s="669"/>
      <c r="E48" s="669"/>
      <c r="F48" s="669"/>
      <c r="G48" s="669"/>
      <c r="H48" s="669"/>
      <c r="I48" s="669"/>
    </row>
    <row r="49" spans="2:9" ht="15.75">
      <c r="B49" s="655" t="s">
        <v>639</v>
      </c>
      <c r="C49" s="655"/>
      <c r="D49" s="654"/>
      <c r="E49" s="654"/>
      <c r="F49" s="654"/>
      <c r="G49" s="654"/>
      <c r="H49" s="654"/>
      <c r="I49" s="654"/>
    </row>
    <row r="50" spans="2:9" ht="15.75">
      <c r="B50" s="655" t="s">
        <v>640</v>
      </c>
      <c r="C50" s="655"/>
      <c r="D50" s="654"/>
      <c r="E50" s="654"/>
      <c r="F50" s="654"/>
      <c r="G50" s="654"/>
      <c r="H50" s="654"/>
      <c r="I50" s="654"/>
    </row>
    <row r="51" spans="2:9" ht="15.75">
      <c r="B51" s="655" t="s">
        <v>641</v>
      </c>
      <c r="C51" s="655"/>
      <c r="D51" s="654"/>
      <c r="E51" s="654"/>
      <c r="F51" s="654"/>
      <c r="G51" s="654"/>
      <c r="H51" s="654"/>
      <c r="I51" s="654"/>
    </row>
    <row r="52" spans="2:9" ht="15">
      <c r="B52" s="654"/>
      <c r="C52" s="654"/>
      <c r="D52" s="654"/>
      <c r="E52" s="654"/>
      <c r="F52" s="654"/>
      <c r="G52" s="654"/>
      <c r="H52" s="654"/>
      <c r="I52" s="654"/>
    </row>
    <row r="53" spans="2:9" ht="15.75">
      <c r="B53" s="653" t="s">
        <v>642</v>
      </c>
      <c r="C53" s="654"/>
      <c r="D53" s="654"/>
      <c r="E53" s="654"/>
      <c r="F53" s="654"/>
      <c r="G53" s="654"/>
      <c r="H53" s="654"/>
      <c r="I53" s="654"/>
    </row>
    <row r="54" spans="2:9" ht="15">
      <c r="B54" s="654"/>
      <c r="C54" s="654"/>
      <c r="D54" s="654"/>
      <c r="E54" s="654"/>
      <c r="F54" s="654"/>
      <c r="G54" s="654"/>
      <c r="H54" s="654"/>
      <c r="I54" s="654"/>
    </row>
    <row r="55" spans="2:9" ht="15.75">
      <c r="B55" s="655" t="s">
        <v>643</v>
      </c>
      <c r="C55" s="654"/>
      <c r="D55" s="654"/>
      <c r="E55" s="654"/>
      <c r="F55" s="654"/>
      <c r="G55" s="654"/>
      <c r="H55" s="654"/>
      <c r="I55" s="654"/>
    </row>
    <row r="56" spans="2:9" ht="15.75">
      <c r="B56" s="655" t="s">
        <v>644</v>
      </c>
      <c r="C56" s="654"/>
      <c r="D56" s="654"/>
      <c r="E56" s="654"/>
      <c r="F56" s="654"/>
      <c r="G56" s="654"/>
      <c r="H56" s="654"/>
      <c r="I56" s="654"/>
    </row>
    <row r="57" spans="2:9" ht="15">
      <c r="B57" s="654"/>
      <c r="C57" s="654"/>
      <c r="D57" s="654"/>
      <c r="E57" s="654"/>
      <c r="F57" s="654"/>
      <c r="G57" s="654"/>
      <c r="H57" s="654"/>
      <c r="I57" s="654"/>
    </row>
    <row r="58" spans="2:9" ht="15.75">
      <c r="B58" s="653" t="s">
        <v>645</v>
      </c>
      <c r="C58" s="655"/>
      <c r="D58" s="655"/>
      <c r="E58" s="655"/>
      <c r="F58" s="655"/>
      <c r="G58" s="654"/>
      <c r="H58" s="654"/>
      <c r="I58" s="654"/>
    </row>
    <row r="59" spans="2:9" ht="15.75">
      <c r="B59" s="655"/>
      <c r="C59" s="655"/>
      <c r="D59" s="655"/>
      <c r="E59" s="655"/>
      <c r="F59" s="655"/>
      <c r="G59" s="654"/>
      <c r="H59" s="654"/>
      <c r="I59" s="654"/>
    </row>
    <row r="60" spans="2:9" ht="15.75">
      <c r="B60" s="655" t="s">
        <v>646</v>
      </c>
      <c r="C60" s="655"/>
      <c r="D60" s="655"/>
      <c r="E60" s="655"/>
      <c r="F60" s="655"/>
      <c r="G60" s="654"/>
      <c r="H60" s="654"/>
      <c r="I60" s="654"/>
    </row>
    <row r="61" spans="2:9" ht="15.75">
      <c r="B61" s="655" t="s">
        <v>647</v>
      </c>
      <c r="C61" s="655"/>
      <c r="D61" s="655"/>
      <c r="E61" s="655"/>
      <c r="F61" s="655"/>
      <c r="G61" s="654"/>
      <c r="H61" s="654"/>
      <c r="I61" s="654"/>
    </row>
    <row r="62" spans="2:9" ht="15.75">
      <c r="B62" s="655" t="s">
        <v>648</v>
      </c>
      <c r="C62" s="655"/>
      <c r="D62" s="655"/>
      <c r="E62" s="655"/>
      <c r="F62" s="655"/>
      <c r="G62" s="654"/>
      <c r="H62" s="654"/>
      <c r="I62" s="654"/>
    </row>
    <row r="63" spans="2:9" ht="15.75">
      <c r="B63" s="655" t="s">
        <v>649</v>
      </c>
      <c r="C63" s="655"/>
      <c r="D63" s="655"/>
      <c r="E63" s="655"/>
      <c r="F63" s="655"/>
      <c r="G63" s="654"/>
      <c r="H63" s="654"/>
      <c r="I63" s="654"/>
    </row>
    <row r="64" spans="2:9" ht="15">
      <c r="B64" s="652"/>
      <c r="C64" s="652"/>
      <c r="D64" s="652"/>
      <c r="E64" s="652"/>
      <c r="F64" s="652"/>
      <c r="G64" s="654"/>
      <c r="H64" s="654"/>
      <c r="I64" s="654"/>
    </row>
    <row r="65" spans="2:9" ht="15.75">
      <c r="B65" s="655" t="s">
        <v>650</v>
      </c>
      <c r="C65" s="652"/>
      <c r="D65" s="652"/>
      <c r="E65" s="652"/>
      <c r="F65" s="652"/>
      <c r="G65" s="654"/>
      <c r="H65" s="654"/>
      <c r="I65" s="654"/>
    </row>
    <row r="66" spans="2:9" ht="15.75">
      <c r="B66" s="655" t="s">
        <v>651</v>
      </c>
      <c r="C66" s="652"/>
      <c r="D66" s="652"/>
      <c r="E66" s="652"/>
      <c r="F66" s="652"/>
      <c r="G66" s="654"/>
      <c r="H66" s="654"/>
      <c r="I66" s="654"/>
    </row>
    <row r="67" spans="2:9" ht="15">
      <c r="B67" s="652"/>
      <c r="C67" s="652"/>
      <c r="D67" s="652"/>
      <c r="E67" s="652"/>
      <c r="F67" s="652"/>
      <c r="G67" s="654"/>
      <c r="H67" s="654"/>
      <c r="I67" s="654"/>
    </row>
    <row r="68" spans="2:9" ht="15.75">
      <c r="B68" s="655" t="s">
        <v>652</v>
      </c>
      <c r="C68" s="652"/>
      <c r="D68" s="652"/>
      <c r="E68" s="652"/>
      <c r="F68" s="652"/>
      <c r="G68" s="654"/>
      <c r="H68" s="654"/>
      <c r="I68" s="654"/>
    </row>
    <row r="69" spans="2:9" ht="15.75">
      <c r="B69" s="655" t="s">
        <v>653</v>
      </c>
      <c r="C69" s="652"/>
      <c r="D69" s="652"/>
      <c r="E69" s="652"/>
      <c r="F69" s="652"/>
      <c r="G69" s="654"/>
      <c r="H69" s="654"/>
      <c r="I69" s="654"/>
    </row>
    <row r="70" spans="2:9" ht="15">
      <c r="B70" s="652"/>
      <c r="C70" s="652"/>
      <c r="D70" s="652"/>
      <c r="E70" s="652"/>
      <c r="F70" s="652"/>
      <c r="G70" s="654"/>
      <c r="H70" s="654"/>
      <c r="I70" s="654"/>
    </row>
    <row r="71" spans="2:9" ht="15.75">
      <c r="B71" s="653" t="s">
        <v>654</v>
      </c>
      <c r="C71" s="652"/>
      <c r="D71" s="652"/>
      <c r="E71" s="652"/>
      <c r="F71" s="652"/>
      <c r="G71" s="654"/>
      <c r="H71" s="654"/>
      <c r="I71" s="654"/>
    </row>
    <row r="72" spans="2:9" ht="15">
      <c r="B72" s="652"/>
      <c r="C72" s="652"/>
      <c r="D72" s="652"/>
      <c r="E72" s="652"/>
      <c r="F72" s="652"/>
      <c r="G72" s="654"/>
      <c r="H72" s="654"/>
      <c r="I72" s="654"/>
    </row>
    <row r="73" spans="2:9" ht="15.75">
      <c r="B73" s="655" t="s">
        <v>655</v>
      </c>
      <c r="C73" s="652"/>
      <c r="D73" s="652"/>
      <c r="E73" s="652"/>
      <c r="F73" s="652"/>
      <c r="G73" s="654"/>
      <c r="H73" s="654"/>
      <c r="I73" s="654"/>
    </row>
    <row r="74" spans="2:9" ht="15.75">
      <c r="B74" s="655" t="s">
        <v>656</v>
      </c>
      <c r="C74" s="652"/>
      <c r="D74" s="652"/>
      <c r="E74" s="652"/>
      <c r="F74" s="652"/>
      <c r="G74" s="654"/>
      <c r="H74" s="654"/>
      <c r="I74" s="654"/>
    </row>
    <row r="75" spans="2:9" ht="15">
      <c r="B75" s="652"/>
      <c r="C75" s="652"/>
      <c r="D75" s="652"/>
      <c r="E75" s="652"/>
      <c r="F75" s="652"/>
      <c r="G75" s="654"/>
      <c r="H75" s="654"/>
      <c r="I75" s="654"/>
    </row>
    <row r="76" spans="2:9" ht="15.75">
      <c r="B76" s="653" t="s">
        <v>657</v>
      </c>
      <c r="C76" s="652"/>
      <c r="D76" s="652"/>
      <c r="E76" s="652"/>
      <c r="F76" s="652"/>
      <c r="G76" s="654"/>
      <c r="H76" s="654"/>
      <c r="I76" s="654"/>
    </row>
    <row r="77" spans="2:9" ht="15">
      <c r="B77" s="652"/>
      <c r="C77" s="652"/>
      <c r="D77" s="652"/>
      <c r="E77" s="652"/>
      <c r="F77" s="652"/>
      <c r="G77" s="654"/>
      <c r="H77" s="654"/>
      <c r="I77" s="654"/>
    </row>
    <row r="78" spans="2:9" ht="15.75">
      <c r="B78" s="655" t="str">
        <f>CONCATENATE("If the ",G14," municipal budget has not been published and has not been submitted to the County")</f>
        <v>If the 0 municipal budget has not been published and has not been submitted to the County</v>
      </c>
      <c r="C78" s="652"/>
      <c r="D78" s="652"/>
      <c r="E78" s="652"/>
      <c r="F78" s="652"/>
      <c r="G78" s="654"/>
      <c r="H78" s="654"/>
      <c r="I78" s="654"/>
    </row>
    <row r="79" spans="2:9" ht="15.75">
      <c r="B79" s="655" t="s">
        <v>658</v>
      </c>
      <c r="C79" s="652"/>
      <c r="D79" s="652"/>
      <c r="E79" s="652"/>
      <c r="F79" s="652"/>
      <c r="G79" s="654"/>
      <c r="H79" s="654"/>
      <c r="I79" s="654"/>
    </row>
    <row r="80" spans="2:9" ht="15">
      <c r="B80" s="652"/>
      <c r="C80" s="652"/>
      <c r="D80" s="652"/>
      <c r="E80" s="652"/>
      <c r="F80" s="652"/>
      <c r="G80" s="654"/>
      <c r="H80" s="654"/>
      <c r="I80" s="654"/>
    </row>
    <row r="81" spans="2:9" ht="15.75">
      <c r="B81" s="653" t="s">
        <v>273</v>
      </c>
      <c r="C81" s="652"/>
      <c r="D81" s="652"/>
      <c r="E81" s="652"/>
      <c r="F81" s="652"/>
      <c r="G81" s="654"/>
      <c r="H81" s="654"/>
      <c r="I81" s="654"/>
    </row>
    <row r="82" spans="2:9" ht="15">
      <c r="B82" s="652"/>
      <c r="C82" s="652"/>
      <c r="D82" s="652"/>
      <c r="E82" s="652"/>
      <c r="F82" s="652"/>
      <c r="G82" s="654"/>
      <c r="H82" s="654"/>
      <c r="I82" s="654"/>
    </row>
    <row r="83" spans="2:9" ht="15.75">
      <c r="B83" s="655" t="s">
        <v>659</v>
      </c>
      <c r="C83" s="652"/>
      <c r="D83" s="652"/>
      <c r="E83" s="652"/>
      <c r="F83" s="652"/>
      <c r="G83" s="654"/>
      <c r="H83" s="654"/>
      <c r="I83" s="654"/>
    </row>
    <row r="84" spans="2:9" ht="15.75">
      <c r="B84" s="655" t="str">
        <f>CONCATENATE("Budget Year ",G14," is equal to or greater than that for Current Year Estimate ",E14,".")</f>
        <v>Budget Year 0 is equal to or greater than that for Current Year Estimate -1.</v>
      </c>
      <c r="C84" s="652"/>
      <c r="D84" s="652"/>
      <c r="E84" s="652"/>
      <c r="F84" s="652"/>
      <c r="G84" s="654"/>
      <c r="H84" s="654"/>
      <c r="I84" s="654"/>
    </row>
    <row r="85" spans="2:9" ht="15">
      <c r="B85" s="652"/>
      <c r="C85" s="652"/>
      <c r="D85" s="652"/>
      <c r="E85" s="652"/>
      <c r="F85" s="652"/>
      <c r="G85" s="654"/>
      <c r="H85" s="654"/>
      <c r="I85" s="654"/>
    </row>
    <row r="86" spans="2:9" ht="15.75">
      <c r="B86" s="655" t="s">
        <v>660</v>
      </c>
      <c r="C86" s="652"/>
      <c r="D86" s="652"/>
      <c r="E86" s="652"/>
      <c r="F86" s="652"/>
      <c r="G86" s="654"/>
      <c r="H86" s="654"/>
      <c r="I86" s="654"/>
    </row>
    <row r="87" spans="2:9" ht="15.75">
      <c r="B87" s="655" t="s">
        <v>661</v>
      </c>
      <c r="C87" s="652"/>
      <c r="D87" s="652"/>
      <c r="E87" s="652"/>
      <c r="F87" s="652"/>
      <c r="G87" s="654"/>
      <c r="H87" s="654"/>
      <c r="I87" s="654"/>
    </row>
    <row r="88" spans="2:9" ht="15.75">
      <c r="B88" s="655" t="s">
        <v>662</v>
      </c>
      <c r="C88" s="652"/>
      <c r="D88" s="652"/>
      <c r="E88" s="652"/>
      <c r="F88" s="652"/>
      <c r="G88" s="654"/>
      <c r="H88" s="654"/>
      <c r="I88" s="654"/>
    </row>
    <row r="89" spans="2:9" ht="15.75">
      <c r="B89" s="655" t="str">
        <f>CONCATENATE("purpose for the previous (",E14,") year.")</f>
        <v>purpose for the previous (-1) year.</v>
      </c>
      <c r="C89" s="652"/>
      <c r="D89" s="652"/>
      <c r="E89" s="652"/>
      <c r="F89" s="652"/>
      <c r="G89" s="654"/>
      <c r="H89" s="654"/>
      <c r="I89" s="654"/>
    </row>
    <row r="90" spans="2:9" ht="15">
      <c r="B90" s="652"/>
      <c r="C90" s="652"/>
      <c r="D90" s="652"/>
      <c r="E90" s="652"/>
      <c r="F90" s="652"/>
      <c r="G90" s="654"/>
      <c r="H90" s="654"/>
      <c r="I90" s="654"/>
    </row>
    <row r="91" spans="2:9" ht="15.75">
      <c r="B91" s="655" t="str">
        <f>CONCATENATE("Next, look to see if delinquent tax for ",G14," is budgeted. Often this line is budgeted at $0 or left")</f>
        <v>Next, look to see if delinquent tax for 0 is budgeted. Often this line is budgeted at $0 or left</v>
      </c>
      <c r="C91" s="652"/>
      <c r="D91" s="652"/>
      <c r="E91" s="652"/>
      <c r="F91" s="652"/>
      <c r="G91" s="654"/>
      <c r="H91" s="654"/>
      <c r="I91" s="654"/>
    </row>
    <row r="92" spans="2:9" ht="15.75">
      <c r="B92" s="655" t="s">
        <v>663</v>
      </c>
      <c r="C92" s="652"/>
      <c r="D92" s="652"/>
      <c r="E92" s="652"/>
      <c r="F92" s="652"/>
      <c r="G92" s="654"/>
      <c r="H92" s="654"/>
      <c r="I92" s="654"/>
    </row>
    <row r="93" spans="2:9" ht="15.75">
      <c r="B93" s="655" t="s">
        <v>664</v>
      </c>
      <c r="C93" s="652"/>
      <c r="D93" s="652"/>
      <c r="E93" s="652"/>
      <c r="F93" s="652"/>
      <c r="G93" s="654"/>
      <c r="H93" s="654"/>
      <c r="I93" s="654"/>
    </row>
    <row r="94" spans="2:9" ht="15.75">
      <c r="B94" s="655" t="s">
        <v>665</v>
      </c>
      <c r="C94" s="652"/>
      <c r="D94" s="652"/>
      <c r="E94" s="652"/>
      <c r="F94" s="652"/>
      <c r="G94" s="654"/>
      <c r="H94" s="654"/>
      <c r="I94" s="654"/>
    </row>
    <row r="95" spans="2:9" ht="15">
      <c r="B95" s="652"/>
      <c r="C95" s="652"/>
      <c r="D95" s="652"/>
      <c r="E95" s="652"/>
      <c r="F95" s="652"/>
      <c r="G95" s="654"/>
      <c r="H95" s="654"/>
      <c r="I95" s="654"/>
    </row>
    <row r="96" spans="2:9" ht="15.75">
      <c r="B96" s="653" t="s">
        <v>666</v>
      </c>
      <c r="C96" s="652"/>
      <c r="D96" s="652"/>
      <c r="E96" s="652"/>
      <c r="F96" s="652"/>
      <c r="G96" s="654"/>
      <c r="H96" s="654"/>
      <c r="I96" s="654"/>
    </row>
    <row r="97" spans="2:9" ht="15">
      <c r="B97" s="652"/>
      <c r="C97" s="652"/>
      <c r="D97" s="652"/>
      <c r="E97" s="652"/>
      <c r="F97" s="652"/>
      <c r="G97" s="654"/>
      <c r="H97" s="654"/>
      <c r="I97" s="654"/>
    </row>
    <row r="98" spans="2:9" ht="15.75">
      <c r="B98" s="655" t="s">
        <v>667</v>
      </c>
      <c r="C98" s="652"/>
      <c r="D98" s="652"/>
      <c r="E98" s="652"/>
      <c r="F98" s="652"/>
      <c r="G98" s="654"/>
      <c r="H98" s="654"/>
      <c r="I98" s="654"/>
    </row>
    <row r="99" spans="2:9" ht="15.75">
      <c r="B99" s="655" t="s">
        <v>668</v>
      </c>
      <c r="C99" s="652"/>
      <c r="D99" s="652"/>
      <c r="E99" s="652"/>
      <c r="F99" s="652"/>
      <c r="G99" s="654"/>
      <c r="H99" s="654"/>
      <c r="I99" s="654"/>
    </row>
    <row r="100" spans="2:9" ht="15">
      <c r="B100" s="652"/>
      <c r="C100" s="652"/>
      <c r="D100" s="652"/>
      <c r="E100" s="652"/>
      <c r="F100" s="652"/>
      <c r="G100" s="654"/>
      <c r="H100" s="654"/>
      <c r="I100" s="654"/>
    </row>
    <row r="101" spans="2:9" ht="15.75">
      <c r="B101" s="655" t="s">
        <v>669</v>
      </c>
      <c r="C101" s="652"/>
      <c r="D101" s="652"/>
      <c r="E101" s="652"/>
      <c r="F101" s="652"/>
      <c r="G101" s="654"/>
      <c r="H101" s="654"/>
      <c r="I101" s="654"/>
    </row>
    <row r="102" spans="2:9" ht="15.75">
      <c r="B102" s="655" t="s">
        <v>670</v>
      </c>
      <c r="C102" s="652"/>
      <c r="D102" s="652"/>
      <c r="E102" s="652"/>
      <c r="F102" s="652"/>
      <c r="G102" s="654"/>
      <c r="H102" s="654"/>
      <c r="I102" s="654"/>
    </row>
    <row r="103" spans="2:9" ht="15.75">
      <c r="B103" s="655" t="s">
        <v>671</v>
      </c>
      <c r="C103" s="652"/>
      <c r="D103" s="652"/>
      <c r="E103" s="652"/>
      <c r="F103" s="652"/>
      <c r="G103" s="654"/>
      <c r="H103" s="654"/>
      <c r="I103" s="654"/>
    </row>
    <row r="104" spans="2:9" ht="15.75">
      <c r="B104" s="655" t="s">
        <v>672</v>
      </c>
      <c r="C104" s="652"/>
      <c r="D104" s="652"/>
      <c r="E104" s="652"/>
      <c r="F104" s="652"/>
      <c r="G104" s="654"/>
      <c r="H104" s="654"/>
      <c r="I104" s="654"/>
    </row>
    <row r="105" spans="2:9" ht="15.75">
      <c r="B105" s="751" t="s">
        <v>747</v>
      </c>
      <c r="C105" s="684"/>
      <c r="D105" s="684"/>
      <c r="E105" s="684"/>
      <c r="F105" s="684"/>
      <c r="G105" s="654"/>
      <c r="H105" s="654"/>
      <c r="I105" s="654"/>
    </row>
    <row r="108" ht="15">
      <c r="G108" s="651"/>
    </row>
  </sheetData>
  <sheetProtection sheet="1"/>
  <mergeCells count="6">
    <mergeCell ref="B2:I2"/>
    <mergeCell ref="B3:I3"/>
    <mergeCell ref="B5:I5"/>
    <mergeCell ref="B10:I10"/>
    <mergeCell ref="B36:I36"/>
    <mergeCell ref="B43:I43"/>
  </mergeCells>
  <hyperlinks>
    <hyperlink ref="B105" r:id="rId1" display="megan.schulz@library.ks.gov "/>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83"/>
  <sheetViews>
    <sheetView zoomScalePageLayoutView="0" workbookViewId="0" topLeftCell="A1">
      <selection activeCell="Q122" sqref="Q122"/>
    </sheetView>
  </sheetViews>
  <sheetFormatPr defaultColWidth="8.796875" defaultRowHeight="15"/>
  <cols>
    <col min="1" max="1" width="2.3984375" style="5" customWidth="1"/>
    <col min="2" max="2" width="31.09765625" style="5" customWidth="1"/>
    <col min="3" max="5" width="15.796875" style="5" customWidth="1"/>
    <col min="6" max="6" width="7.3984375" style="5" customWidth="1"/>
    <col min="7" max="7" width="10.19921875" style="5" customWidth="1"/>
    <col min="8" max="8" width="8.8984375" style="5" customWidth="1"/>
    <col min="9" max="9" width="6.09765625" style="5" customWidth="1"/>
    <col min="10" max="10" width="10" style="5" customWidth="1"/>
    <col min="11" max="16384" width="8.8984375" style="5" customWidth="1"/>
  </cols>
  <sheetData>
    <row r="1" spans="2:5" ht="15.75">
      <c r="B1" s="19">
        <f>inputPrYr!D3</f>
        <v>0</v>
      </c>
      <c r="C1" s="207"/>
      <c r="D1" s="19"/>
      <c r="E1" s="173">
        <f>inputPrYr!D22</f>
        <v>0</v>
      </c>
    </row>
    <row r="2" spans="2:5" ht="15.75">
      <c r="B2" s="19">
        <f>inputPrYr!D4</f>
        <v>0</v>
      </c>
      <c r="C2" s="207"/>
      <c r="D2" s="19"/>
      <c r="E2" s="152"/>
    </row>
    <row r="3" spans="2:6" ht="15.75">
      <c r="B3" s="24" t="s">
        <v>70</v>
      </c>
      <c r="C3" s="207"/>
      <c r="D3" s="19"/>
      <c r="E3" s="173"/>
      <c r="F3" s="503"/>
    </row>
    <row r="4" spans="2:5" ht="15.75">
      <c r="B4" s="19"/>
      <c r="C4" s="115"/>
      <c r="D4" s="115"/>
      <c r="E4" s="115"/>
    </row>
    <row r="5" spans="2:5" ht="15.75">
      <c r="B5" s="18" t="s">
        <v>24</v>
      </c>
      <c r="C5" s="318" t="s">
        <v>185</v>
      </c>
      <c r="D5" s="322" t="s">
        <v>186</v>
      </c>
      <c r="E5" s="209" t="s">
        <v>187</v>
      </c>
    </row>
    <row r="6" spans="2:5" ht="15.75">
      <c r="B6" s="412" t="str">
        <f>inputPrYr!B35</f>
        <v>General</v>
      </c>
      <c r="C6" s="319" t="str">
        <f>CONCATENATE("Actual for ",E1-2,"")</f>
        <v>Actual for -2</v>
      </c>
      <c r="D6" s="319" t="str">
        <f>CONCATENATE("Estimate for ",E1-1,"")</f>
        <v>Estimate for -1</v>
      </c>
      <c r="E6" s="161" t="str">
        <f>CONCATENATE("Year for ",E1,"")</f>
        <v>Year for 0</v>
      </c>
    </row>
    <row r="7" spans="2:5" ht="15.75">
      <c r="B7" s="119" t="s">
        <v>104</v>
      </c>
      <c r="C7" s="66"/>
      <c r="D7" s="323">
        <f>C64</f>
        <v>0</v>
      </c>
      <c r="E7" s="122">
        <f>D64</f>
        <v>0</v>
      </c>
    </row>
    <row r="8" spans="2:5" ht="15.75">
      <c r="B8" s="138" t="s">
        <v>106</v>
      </c>
      <c r="C8" s="210"/>
      <c r="D8" s="210"/>
      <c r="E8" s="126"/>
    </row>
    <row r="9" spans="2:5" ht="15.75">
      <c r="B9" s="119" t="s">
        <v>25</v>
      </c>
      <c r="C9" s="66"/>
      <c r="D9" s="323">
        <f>IF(inputPrYr!H34&gt;0,inputPrYr!G35,inputPrYr!E35)</f>
        <v>0</v>
      </c>
      <c r="E9" s="131" t="s">
        <v>20</v>
      </c>
    </row>
    <row r="10" spans="2:5" ht="15.75">
      <c r="B10" s="119" t="s">
        <v>26</v>
      </c>
      <c r="C10" s="66"/>
      <c r="D10" s="66"/>
      <c r="E10" s="187"/>
    </row>
    <row r="11" spans="2:5" ht="15.75">
      <c r="B11" s="119" t="s">
        <v>27</v>
      </c>
      <c r="C11" s="66"/>
      <c r="D11" s="66"/>
      <c r="E11" s="122">
        <f>mvalloc!D11</f>
        <v>0</v>
      </c>
    </row>
    <row r="12" spans="2:5" ht="15.75">
      <c r="B12" s="119" t="s">
        <v>28</v>
      </c>
      <c r="C12" s="66"/>
      <c r="D12" s="66"/>
      <c r="E12" s="122">
        <f>mvalloc!E11</f>
        <v>0</v>
      </c>
    </row>
    <row r="13" spans="2:5" ht="15.75">
      <c r="B13" s="210" t="s">
        <v>97</v>
      </c>
      <c r="C13" s="66"/>
      <c r="D13" s="66"/>
      <c r="E13" s="122">
        <f>mvalloc!F11</f>
        <v>0</v>
      </c>
    </row>
    <row r="14" spans="2:5" ht="15.75">
      <c r="B14" s="782" t="s">
        <v>772</v>
      </c>
      <c r="C14" s="66"/>
      <c r="D14" s="66"/>
      <c r="E14" s="122">
        <f>mvalloc!G11</f>
        <v>0</v>
      </c>
    </row>
    <row r="15" spans="2:5" ht="15.75">
      <c r="B15" s="782" t="s">
        <v>773</v>
      </c>
      <c r="C15" s="66"/>
      <c r="D15" s="66"/>
      <c r="E15" s="122">
        <f>mvalloc!H11</f>
        <v>0</v>
      </c>
    </row>
    <row r="16" spans="2:5" ht="15.75">
      <c r="B16" s="210" t="s">
        <v>135</v>
      </c>
      <c r="C16" s="66"/>
      <c r="D16" s="66"/>
      <c r="E16" s="122">
        <f>inputOth!D62</f>
        <v>0</v>
      </c>
    </row>
    <row r="17" spans="2:5" ht="15.75">
      <c r="B17" s="212"/>
      <c r="C17" s="66"/>
      <c r="D17" s="66"/>
      <c r="E17" s="187"/>
    </row>
    <row r="18" spans="2:5" ht="15.75">
      <c r="B18" s="410"/>
      <c r="C18" s="66"/>
      <c r="D18" s="66"/>
      <c r="E18" s="187"/>
    </row>
    <row r="19" spans="2:5" ht="15.75">
      <c r="B19" s="212"/>
      <c r="C19" s="66"/>
      <c r="D19" s="66"/>
      <c r="E19" s="187"/>
    </row>
    <row r="20" spans="2:5" ht="15.75">
      <c r="B20" s="212"/>
      <c r="C20" s="66"/>
      <c r="D20" s="66"/>
      <c r="E20" s="187"/>
    </row>
    <row r="21" spans="2:5" ht="15.75">
      <c r="B21" s="212"/>
      <c r="C21" s="66"/>
      <c r="D21" s="66"/>
      <c r="E21" s="187"/>
    </row>
    <row r="22" spans="2:5" ht="15.75">
      <c r="B22" s="212"/>
      <c r="C22" s="66"/>
      <c r="D22" s="66"/>
      <c r="E22" s="187"/>
    </row>
    <row r="23" spans="2:5" ht="15.75">
      <c r="B23" s="212"/>
      <c r="C23" s="66"/>
      <c r="D23" s="66"/>
      <c r="E23" s="187"/>
    </row>
    <row r="24" spans="2:5" ht="15.75">
      <c r="B24" s="212"/>
      <c r="C24" s="66"/>
      <c r="D24" s="66"/>
      <c r="E24" s="187"/>
    </row>
    <row r="25" spans="2:5" ht="15.75">
      <c r="B25" s="212"/>
      <c r="C25" s="66"/>
      <c r="D25" s="66"/>
      <c r="E25" s="187"/>
    </row>
    <row r="26" spans="2:5" ht="15.75">
      <c r="B26" s="212"/>
      <c r="C26" s="66"/>
      <c r="D26" s="66"/>
      <c r="E26" s="187"/>
    </row>
    <row r="27" spans="2:5" ht="15.75">
      <c r="B27" s="212"/>
      <c r="C27" s="66"/>
      <c r="D27" s="66"/>
      <c r="E27" s="187"/>
    </row>
    <row r="28" spans="2:5" ht="15.75">
      <c r="B28" s="212"/>
      <c r="C28" s="66"/>
      <c r="D28" s="66"/>
      <c r="E28" s="187"/>
    </row>
    <row r="29" spans="2:5" ht="15.75">
      <c r="B29" s="212"/>
      <c r="C29" s="66"/>
      <c r="D29" s="66"/>
      <c r="E29" s="187"/>
    </row>
    <row r="30" spans="2:5" ht="15.75">
      <c r="B30" s="212"/>
      <c r="C30" s="66"/>
      <c r="D30" s="66"/>
      <c r="E30" s="187"/>
    </row>
    <row r="31" spans="2:5" ht="15.75">
      <c r="B31" s="212" t="s">
        <v>569</v>
      </c>
      <c r="C31" s="66"/>
      <c r="D31" s="66"/>
      <c r="E31" s="187"/>
    </row>
    <row r="32" spans="2:5" ht="15.75">
      <c r="B32" s="213" t="s">
        <v>29</v>
      </c>
      <c r="C32" s="66"/>
      <c r="D32" s="66"/>
      <c r="E32" s="187"/>
    </row>
    <row r="33" spans="2:5" ht="15.75">
      <c r="B33" s="123" t="s">
        <v>169</v>
      </c>
      <c r="C33" s="66"/>
      <c r="D33" s="66"/>
      <c r="E33" s="142">
        <f>Nhood!E7*-1</f>
        <v>0</v>
      </c>
    </row>
    <row r="34" spans="2:5" ht="15.75">
      <c r="B34" s="214" t="s">
        <v>170</v>
      </c>
      <c r="C34" s="212"/>
      <c r="D34" s="212"/>
      <c r="E34" s="187"/>
    </row>
    <row r="35" spans="2:5" ht="15.75">
      <c r="B35" s="214" t="s">
        <v>568</v>
      </c>
      <c r="C35" s="320">
        <f>IF(C36*0.1&lt;C34,"Exceed 10% Rule","")</f>
      </c>
      <c r="D35" s="320">
        <f>IF(D36*0.1&lt;D34,"Exceed 10% Rule","")</f>
      </c>
      <c r="E35" s="414">
        <f>IF(E36*0.1+E70&lt;E34,"Exceed 10% Rule","")</f>
      </c>
    </row>
    <row r="36" spans="2:5" ht="15.75">
      <c r="B36" s="217" t="s">
        <v>30</v>
      </c>
      <c r="C36" s="321">
        <f>SUM(C9:C34)</f>
        <v>0</v>
      </c>
      <c r="D36" s="321">
        <f>SUM(D9:D34)</f>
        <v>0</v>
      </c>
      <c r="E36" s="218">
        <f>SUM(E9:E34)</f>
        <v>0</v>
      </c>
    </row>
    <row r="37" spans="2:5" ht="15.75">
      <c r="B37" s="217" t="s">
        <v>31</v>
      </c>
      <c r="C37" s="321">
        <f>C7+C36</f>
        <v>0</v>
      </c>
      <c r="D37" s="321">
        <f>D7+D36</f>
        <v>0</v>
      </c>
      <c r="E37" s="218">
        <f>E7+E36</f>
        <v>0</v>
      </c>
    </row>
    <row r="38" spans="2:5" ht="15.75">
      <c r="B38" s="119" t="s">
        <v>32</v>
      </c>
      <c r="C38" s="123"/>
      <c r="D38" s="123"/>
      <c r="E38" s="44"/>
    </row>
    <row r="39" spans="2:5" ht="15.75">
      <c r="B39" s="212"/>
      <c r="C39" s="66"/>
      <c r="D39" s="66"/>
      <c r="E39" s="32"/>
    </row>
    <row r="40" spans="2:5" ht="15.75">
      <c r="B40" s="212"/>
      <c r="C40" s="66"/>
      <c r="D40" s="66"/>
      <c r="E40" s="32"/>
    </row>
    <row r="41" spans="2:5" ht="15.75">
      <c r="B41" s="212"/>
      <c r="C41" s="66"/>
      <c r="D41" s="66"/>
      <c r="E41" s="32"/>
    </row>
    <row r="42" spans="2:5" ht="15.75">
      <c r="B42" s="212"/>
      <c r="C42" s="66"/>
      <c r="D42" s="66"/>
      <c r="E42" s="32"/>
    </row>
    <row r="43" spans="2:5" ht="15.75">
      <c r="B43" s="212"/>
      <c r="C43" s="66"/>
      <c r="D43" s="66"/>
      <c r="E43" s="32"/>
    </row>
    <row r="44" spans="2:5" ht="15.75">
      <c r="B44" s="212"/>
      <c r="C44" s="66"/>
      <c r="D44" s="66"/>
      <c r="E44" s="32"/>
    </row>
    <row r="45" spans="2:5" ht="15.75">
      <c r="B45" s="212"/>
      <c r="C45" s="66"/>
      <c r="D45" s="66"/>
      <c r="E45" s="32"/>
    </row>
    <row r="46" spans="2:5" ht="15.75">
      <c r="B46" s="212"/>
      <c r="C46" s="66"/>
      <c r="D46" s="66"/>
      <c r="E46" s="32"/>
    </row>
    <row r="47" spans="2:11" ht="15.75">
      <c r="B47" s="212"/>
      <c r="C47" s="66"/>
      <c r="D47" s="66"/>
      <c r="E47" s="32"/>
      <c r="G47" s="921" t="str">
        <f>CONCATENATE("Desired Carryover Into ",E1+1,"")</f>
        <v>Desired Carryover Into 1</v>
      </c>
      <c r="H47" s="922"/>
      <c r="I47" s="922"/>
      <c r="J47" s="923"/>
      <c r="K47" s="17"/>
    </row>
    <row r="48" spans="2:11" ht="15.75">
      <c r="B48" s="212"/>
      <c r="C48" s="66"/>
      <c r="D48" s="66"/>
      <c r="E48" s="32"/>
      <c r="G48" s="456"/>
      <c r="H48" s="22"/>
      <c r="I48" s="453"/>
      <c r="J48" s="457"/>
      <c r="K48" s="17"/>
    </row>
    <row r="49" spans="2:11" ht="15.75">
      <c r="B49" s="212"/>
      <c r="C49" s="66"/>
      <c r="D49" s="66"/>
      <c r="E49" s="32"/>
      <c r="G49" s="458" t="s">
        <v>576</v>
      </c>
      <c r="H49" s="453"/>
      <c r="I49" s="453"/>
      <c r="J49" s="459">
        <v>0</v>
      </c>
      <c r="K49" s="17"/>
    </row>
    <row r="50" spans="2:11" ht="15.75">
      <c r="B50" s="212"/>
      <c r="C50" s="66"/>
      <c r="D50" s="66"/>
      <c r="E50" s="32"/>
      <c r="G50" s="456" t="s">
        <v>577</v>
      </c>
      <c r="H50" s="22"/>
      <c r="I50" s="22"/>
      <c r="J50" s="533">
        <f>IF(J49=0,"",ROUND((J49+E70-G62)/inputOth!C26*1000,3)-G67)</f>
      </c>
      <c r="K50" s="17"/>
    </row>
    <row r="51" spans="2:11" ht="15.75">
      <c r="B51" s="212"/>
      <c r="C51" s="66"/>
      <c r="D51" s="66"/>
      <c r="E51" s="32"/>
      <c r="G51" s="532" t="str">
        <f>CONCATENATE("",E1," Tot Exp/Non-Appr Must Be:")</f>
        <v>0 Tot Exp/Non-Appr Must Be:</v>
      </c>
      <c r="H51" s="493"/>
      <c r="I51" s="492"/>
      <c r="J51" s="531">
        <f>IF(J49&gt;0,IF(E67&lt;E37,IF(J49=G62,E67,((J49-G62)*(1-D69))+E37),E67+(J49-G62)),0)</f>
        <v>0</v>
      </c>
      <c r="K51" s="17"/>
    </row>
    <row r="52" spans="2:11" ht="15.75">
      <c r="B52" s="212"/>
      <c r="C52" s="66"/>
      <c r="D52" s="66"/>
      <c r="E52" s="32"/>
      <c r="G52" s="534" t="s">
        <v>597</v>
      </c>
      <c r="H52" s="530"/>
      <c r="I52" s="530"/>
      <c r="J52" s="529">
        <f>IF(J49&gt;0,J51-E67,0)</f>
        <v>0</v>
      </c>
      <c r="K52" s="17"/>
    </row>
    <row r="53" spans="2:11" ht="15.75">
      <c r="B53" s="212"/>
      <c r="C53" s="66"/>
      <c r="D53" s="66"/>
      <c r="E53" s="32"/>
      <c r="G53" s="17"/>
      <c r="H53" s="17"/>
      <c r="I53" s="17"/>
      <c r="J53" s="17"/>
      <c r="K53" s="17"/>
    </row>
    <row r="54" spans="2:11" ht="15.75">
      <c r="B54" s="212"/>
      <c r="C54" s="66"/>
      <c r="D54" s="66"/>
      <c r="E54" s="32"/>
      <c r="F54" s="17"/>
      <c r="G54" s="921" t="str">
        <f>CONCATENATE("Projected Carryover Into ",E3+1,"")</f>
        <v>Projected Carryover Into 1</v>
      </c>
      <c r="H54" s="922"/>
      <c r="I54" s="922"/>
      <c r="J54" s="923"/>
      <c r="K54" s="17"/>
    </row>
    <row r="55" spans="2:11" ht="15.75">
      <c r="B55" s="212"/>
      <c r="C55" s="66"/>
      <c r="D55" s="66"/>
      <c r="E55" s="32"/>
      <c r="F55" s="17"/>
      <c r="G55" s="443"/>
      <c r="H55" s="22"/>
      <c r="I55" s="22"/>
      <c r="J55" s="445"/>
      <c r="K55" s="17"/>
    </row>
    <row r="56" spans="2:11" ht="15.75">
      <c r="B56" s="212"/>
      <c r="C56" s="66"/>
      <c r="D56" s="66"/>
      <c r="E56" s="32"/>
      <c r="F56" s="17"/>
      <c r="G56" s="446">
        <f>D64</f>
        <v>0</v>
      </c>
      <c r="H56" s="452" t="str">
        <f>CONCATENATE("",E1-1," Ending Cash Balance (est.)")</f>
        <v>-1 Ending Cash Balance (est.)</v>
      </c>
      <c r="I56" s="528"/>
      <c r="J56" s="445"/>
      <c r="K56" s="17"/>
    </row>
    <row r="57" spans="2:11" ht="15.75">
      <c r="B57" s="212"/>
      <c r="C57" s="66"/>
      <c r="D57" s="66"/>
      <c r="E57" s="32"/>
      <c r="F57" s="17"/>
      <c r="G57" s="446">
        <f>E36</f>
        <v>0</v>
      </c>
      <c r="H57" s="453" t="str">
        <f>CONCATENATE("",E3," Non-AV Receipts (est.)")</f>
        <v> Non-AV Receipts (est.)</v>
      </c>
      <c r="I57" s="824"/>
      <c r="J57" s="823"/>
      <c r="K57" s="822"/>
    </row>
    <row r="58" spans="2:11" ht="15.75">
      <c r="B58" s="212"/>
      <c r="C58" s="66"/>
      <c r="D58" s="66"/>
      <c r="E58" s="32"/>
      <c r="F58" s="17"/>
      <c r="G58" s="448">
        <f>IF(E69&gt;0,E68,E70)</f>
        <v>0</v>
      </c>
      <c r="H58" s="453" t="str">
        <f>CONCATENATE("",E3," Ad Valorem Tax (est.)")</f>
        <v> Ad Valorem Tax (est.)</v>
      </c>
      <c r="I58" s="453"/>
      <c r="J58" s="445"/>
      <c r="K58" s="527">
        <f>IF(G58=E70,"","Note: Does not include Delinquent Taxes")</f>
      </c>
    </row>
    <row r="59" spans="2:11" ht="15.75">
      <c r="B59" s="212"/>
      <c r="C59" s="66"/>
      <c r="D59" s="66"/>
      <c r="E59" s="32"/>
      <c r="F59" s="17"/>
      <c r="G59" s="446">
        <f>SUM(G56:G58)</f>
        <v>0</v>
      </c>
      <c r="H59" s="453" t="str">
        <f>CONCATENATE("Total ",E3," Resources Available")</f>
        <v>Total  Resources Available</v>
      </c>
      <c r="I59" s="528"/>
      <c r="J59" s="445"/>
      <c r="K59" s="17"/>
    </row>
    <row r="60" spans="2:11" ht="15.75">
      <c r="B60" s="123" t="str">
        <f>CONCATENATE("Cash Forward (",E1," column)")</f>
        <v>Cash Forward (0 column)</v>
      </c>
      <c r="C60" s="66"/>
      <c r="D60" s="66"/>
      <c r="E60" s="32"/>
      <c r="F60" s="17"/>
      <c r="G60" s="449"/>
      <c r="H60" s="453"/>
      <c r="I60" s="453"/>
      <c r="J60" s="445"/>
      <c r="K60" s="17"/>
    </row>
    <row r="61" spans="2:11" ht="15.75">
      <c r="B61" s="123" t="s">
        <v>170</v>
      </c>
      <c r="C61" s="66"/>
      <c r="D61" s="66"/>
      <c r="E61" s="32"/>
      <c r="F61" s="17"/>
      <c r="G61" s="448">
        <f>ROUND(C63*0.05+C63,0)</f>
        <v>0</v>
      </c>
      <c r="H61" s="453" t="str">
        <f>CONCATENATE("Less ",E1-2," Expenditures + 5%")</f>
        <v>Less -2 Expenditures + 5%</v>
      </c>
      <c r="I61" s="528"/>
      <c r="J61" s="445"/>
      <c r="K61" s="17"/>
    </row>
    <row r="62" spans="2:11" ht="15.75">
      <c r="B62" s="123" t="s">
        <v>567</v>
      </c>
      <c r="C62" s="320">
        <f>IF(C63*0.1&lt;C61,"Exceed 10% Rule","")</f>
      </c>
      <c r="D62" s="320">
        <f>IF(D63*0.1&lt;D61,"Exceed 10% Rule","")</f>
      </c>
      <c r="E62" s="414">
        <f>IF(E63*0.1&lt;E61,"Exceed 10% Rule","")</f>
      </c>
      <c r="F62" s="17"/>
      <c r="G62" s="525">
        <f>G59-G61</f>
        <v>0</v>
      </c>
      <c r="H62" s="524" t="str">
        <f>CONCATENATE("Projected ",E3+1," Carryover (est.)")</f>
        <v>Projected 1 Carryover (est.)</v>
      </c>
      <c r="I62" s="523"/>
      <c r="J62" s="451"/>
      <c r="K62" s="17"/>
    </row>
    <row r="63" spans="2:11" ht="15.75">
      <c r="B63" s="217" t="s">
        <v>33</v>
      </c>
      <c r="C63" s="321">
        <f>SUM(C39:C61)</f>
        <v>0</v>
      </c>
      <c r="D63" s="321">
        <f>SUM(D39:D61)</f>
        <v>0</v>
      </c>
      <c r="E63" s="218">
        <f>SUM(E39:E61)</f>
        <v>0</v>
      </c>
      <c r="F63" s="17"/>
      <c r="G63" s="17"/>
      <c r="H63" s="17"/>
      <c r="I63" s="17"/>
      <c r="J63" s="17"/>
      <c r="K63" s="17"/>
    </row>
    <row r="64" spans="2:11" ht="15.75">
      <c r="B64" s="119" t="s">
        <v>105</v>
      </c>
      <c r="C64" s="317">
        <f>C37-C63</f>
        <v>0</v>
      </c>
      <c r="D64" s="317">
        <f>D37-D63</f>
        <v>0</v>
      </c>
      <c r="E64" s="131" t="s">
        <v>20</v>
      </c>
      <c r="F64" s="17"/>
      <c r="G64" s="924" t="s">
        <v>598</v>
      </c>
      <c r="H64" s="925"/>
      <c r="I64" s="925"/>
      <c r="J64" s="926"/>
      <c r="K64" s="17"/>
    </row>
    <row r="65" spans="2:11" ht="15.75">
      <c r="B65" s="18" t="str">
        <f>CONCATENATE("",E1-2,"/",E1-1,"/",E1," Budget Authority Amount:")</f>
        <v>-2/-1/0 Budget Authority Amount:</v>
      </c>
      <c r="C65" s="220">
        <f>inputOth!C92</f>
        <v>0</v>
      </c>
      <c r="D65" s="220">
        <f>inputPrYr!D35</f>
        <v>0</v>
      </c>
      <c r="E65" s="122">
        <f>E63</f>
        <v>0</v>
      </c>
      <c r="F65" s="221"/>
      <c r="G65" s="522"/>
      <c r="H65" s="452"/>
      <c r="I65" s="494"/>
      <c r="J65" s="521"/>
      <c r="K65" s="17"/>
    </row>
    <row r="66" spans="2:11" ht="15.75">
      <c r="B66" s="152"/>
      <c r="C66" s="915" t="s">
        <v>570</v>
      </c>
      <c r="D66" s="916"/>
      <c r="E66" s="187"/>
      <c r="F66" s="526">
        <f>IF(E63/0.95-E63&lt;E66,"Exceeds 5%","")</f>
      </c>
      <c r="G66" s="520" t="str">
        <f>summ!H21</f>
        <v> </v>
      </c>
      <c r="H66" s="452" t="str">
        <f>CONCATENATE("",E1," Fund Mill Rate")</f>
        <v>0 Fund Mill Rate</v>
      </c>
      <c r="I66" s="494"/>
      <c r="J66" s="521"/>
      <c r="K66" s="17"/>
    </row>
    <row r="67" spans="2:11" ht="15.75">
      <c r="B67" s="411" t="str">
        <f>CONCATENATE(C82,"     ",D82)</f>
        <v>     </v>
      </c>
      <c r="C67" s="917" t="s">
        <v>571</v>
      </c>
      <c r="D67" s="918"/>
      <c r="E67" s="122">
        <f>E63+E66</f>
        <v>0</v>
      </c>
      <c r="F67" s="17"/>
      <c r="G67" s="518" t="str">
        <f>summ!E21</f>
        <v>  </v>
      </c>
      <c r="H67" s="452" t="str">
        <f>CONCATENATE("",E1-1," Fund Mill Rate")</f>
        <v>-1 Fund Mill Rate</v>
      </c>
      <c r="I67" s="494"/>
      <c r="J67" s="521"/>
      <c r="K67" s="17"/>
    </row>
    <row r="68" spans="2:11" ht="15.75">
      <c r="B68" s="411" t="str">
        <f>CONCATENATE(C83,"     ",D83)</f>
        <v>     </v>
      </c>
      <c r="C68" s="416"/>
      <c r="D68" s="417" t="s">
        <v>34</v>
      </c>
      <c r="E68" s="142">
        <f>IF(E67-E37&gt;0,E67-E37,0)</f>
        <v>0</v>
      </c>
      <c r="F68" s="17"/>
      <c r="G68" s="517">
        <f>summ!H29</f>
        <v>0</v>
      </c>
      <c r="H68" s="452" t="str">
        <f>CONCATENATE("Total ",E1," Mill Rate")</f>
        <v>Total 0 Mill Rate</v>
      </c>
      <c r="I68" s="494"/>
      <c r="J68" s="521"/>
      <c r="K68" s="17"/>
    </row>
    <row r="69" spans="2:11" ht="15.75">
      <c r="B69" s="151"/>
      <c r="C69" s="415" t="s">
        <v>572</v>
      </c>
      <c r="D69" s="491">
        <f>inputOth!$G$86</f>
        <v>0</v>
      </c>
      <c r="E69" s="122">
        <f>ROUND(IF(D69&gt;0,(E68*D69),0),0)</f>
        <v>0</v>
      </c>
      <c r="F69" s="17"/>
      <c r="G69" s="518">
        <f>summ!E29</f>
        <v>0</v>
      </c>
      <c r="H69" s="516" t="str">
        <f>CONCATENATE("Total ",E1-1," Mill Rate")</f>
        <v>Total -1 Mill Rate</v>
      </c>
      <c r="I69" s="515"/>
      <c r="J69" s="514"/>
      <c r="K69" s="17"/>
    </row>
    <row r="70" spans="2:6" ht="15.75">
      <c r="B70" s="19"/>
      <c r="C70" s="919" t="str">
        <f>CONCATENATE("Amount of  ",$E$1-1," Ad Valorem Tax")</f>
        <v>Amount of  -1 Ad Valorem Tax</v>
      </c>
      <c r="D70" s="920"/>
      <c r="E70" s="142">
        <f>E68+E69</f>
        <v>0</v>
      </c>
      <c r="F70" s="552" t="str">
        <f>IF('Library Grant'!F33="","",IF('Library Grant'!F33="Qualify","Qualifies for State Library Grant","See 'Library Grant' tab"))</f>
        <v>Qualifies for State Library Grant</v>
      </c>
    </row>
    <row r="71" spans="2:10" ht="15.75">
      <c r="B71" s="19"/>
      <c r="C71" s="19"/>
      <c r="D71" s="19"/>
      <c r="E71" s="19"/>
      <c r="F71" s="17"/>
      <c r="G71" s="787" t="s">
        <v>780</v>
      </c>
      <c r="H71" s="788"/>
      <c r="I71" s="790"/>
      <c r="J71" s="789" t="str">
        <f>cert!G35</f>
        <v>No</v>
      </c>
    </row>
    <row r="72" spans="2:10" ht="15.75">
      <c r="B72" s="19"/>
      <c r="C72" s="19"/>
      <c r="D72" s="19"/>
      <c r="E72" s="19"/>
      <c r="F72" s="17"/>
      <c r="G72" s="791" t="str">
        <f>CONCATENATE("Computed ",E1," tax levy limit amount")</f>
        <v>Computed 0 tax levy limit amount</v>
      </c>
      <c r="H72" s="792"/>
      <c r="I72" s="792"/>
      <c r="J72" s="793">
        <f>computation!J41</f>
        <v>0</v>
      </c>
    </row>
    <row r="73" spans="2:10" ht="15.75">
      <c r="B73" s="19"/>
      <c r="C73" s="19"/>
      <c r="D73" s="19"/>
      <c r="E73" s="19"/>
      <c r="F73" s="17"/>
      <c r="G73" s="794" t="str">
        <f>CONCATENATE("Total ",E1," tax levy amount")</f>
        <v>Total 0 tax levy amount</v>
      </c>
      <c r="H73" s="795"/>
      <c r="I73" s="795"/>
      <c r="J73" s="796">
        <f>summ!G29</f>
        <v>0</v>
      </c>
    </row>
    <row r="74" spans="2:6" ht="15.75">
      <c r="B74" s="19"/>
      <c r="C74" s="19"/>
      <c r="D74" s="19"/>
      <c r="E74" s="19"/>
      <c r="F74" s="519"/>
    </row>
    <row r="75" spans="2:6" ht="15.75">
      <c r="B75" s="19"/>
      <c r="C75" s="207"/>
      <c r="D75" s="207"/>
      <c r="E75" s="207"/>
      <c r="F75" s="499"/>
    </row>
    <row r="76" spans="2:6" ht="15.75">
      <c r="B76" s="152"/>
      <c r="C76" s="28" t="s">
        <v>677</v>
      </c>
      <c r="D76" s="19"/>
      <c r="E76" s="19"/>
      <c r="F76" s="499"/>
    </row>
    <row r="78" ht="15.75">
      <c r="B78" s="54"/>
    </row>
    <row r="82" spans="3:4" ht="15.75" hidden="1">
      <c r="C82" s="5">
        <f>IF(C63&gt;C65,"See Tab A","")</f>
      </c>
      <c r="D82" s="5">
        <f>IF(D63&gt;D65,"See Tab C","")</f>
      </c>
    </row>
    <row r="83" spans="3:4" ht="15.75" hidden="1">
      <c r="C83" s="5">
        <f>IF(C64&lt;0,"See Tab B","")</f>
      </c>
      <c r="D83" s="5">
        <f>IF(D64&lt;0,"See Tab D","")</f>
      </c>
    </row>
  </sheetData>
  <sheetProtection sheet="1"/>
  <mergeCells count="6">
    <mergeCell ref="C66:D66"/>
    <mergeCell ref="C67:D67"/>
    <mergeCell ref="C70:D70"/>
    <mergeCell ref="G47:J47"/>
    <mergeCell ref="G54:J54"/>
    <mergeCell ref="G64:J64"/>
  </mergeCells>
  <conditionalFormatting sqref="C61">
    <cfRule type="cellIs" priority="3" dxfId="65" operator="greaterThan" stopIfTrue="1">
      <formula>$C$63*0.1</formula>
    </cfRule>
  </conditionalFormatting>
  <conditionalFormatting sqref="D61">
    <cfRule type="cellIs" priority="4" dxfId="65" operator="greaterThan" stopIfTrue="1">
      <formula>$D$63*0.1</formula>
    </cfRule>
  </conditionalFormatting>
  <conditionalFormatting sqref="E61">
    <cfRule type="cellIs" priority="5" dxfId="65" operator="greaterThan" stopIfTrue="1">
      <formula>$E$63*0.1</formula>
    </cfRule>
  </conditionalFormatting>
  <conditionalFormatting sqref="E66">
    <cfRule type="cellIs" priority="6" dxfId="65" operator="greaterThan" stopIfTrue="1">
      <formula>$E$63/0.95-$E$63</formula>
    </cfRule>
  </conditionalFormatting>
  <conditionalFormatting sqref="C34">
    <cfRule type="cellIs" priority="7" dxfId="65" operator="greaterThan" stopIfTrue="1">
      <formula>$C$36*0.1</formula>
    </cfRule>
  </conditionalFormatting>
  <conditionalFormatting sqref="D34">
    <cfRule type="cellIs" priority="8" dxfId="65" operator="greaterThan" stopIfTrue="1">
      <formula>$D$36*0.1</formula>
    </cfRule>
  </conditionalFormatting>
  <conditionalFormatting sqref="C64">
    <cfRule type="cellIs" priority="9" dxfId="65" operator="lessThan" stopIfTrue="1">
      <formula>0</formula>
    </cfRule>
  </conditionalFormatting>
  <conditionalFormatting sqref="D64">
    <cfRule type="cellIs" priority="1" dxfId="0" operator="lessThan" stopIfTrue="1">
      <formula>0</formula>
    </cfRule>
  </conditionalFormatting>
  <conditionalFormatting sqref="D63">
    <cfRule type="cellIs" priority="21" dxfId="1" operator="greaterThan" stopIfTrue="1">
      <formula>$D$65</formula>
    </cfRule>
  </conditionalFormatting>
  <conditionalFormatting sqref="C63">
    <cfRule type="cellIs" priority="29" dxfId="1" operator="greaterThan" stopIfTrue="1">
      <formula>$C$65</formula>
    </cfRule>
  </conditionalFormatting>
  <conditionalFormatting sqref="E34">
    <cfRule type="cellIs" priority="90" dxfId="65" operator="greaterThan" stopIfTrue="1">
      <formula>$E$36*0.1+$E$70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100"/>
  <sheetViews>
    <sheetView zoomScalePageLayoutView="0" workbookViewId="0" topLeftCell="A1">
      <selection activeCell="Q116" sqref="Q116"/>
    </sheetView>
  </sheetViews>
  <sheetFormatPr defaultColWidth="8.796875" defaultRowHeight="15"/>
  <cols>
    <col min="1" max="1" width="2.3984375" style="647" customWidth="1"/>
    <col min="2" max="2" width="31.69921875" style="647" customWidth="1"/>
    <col min="3" max="4" width="15.796875" style="647" customWidth="1"/>
    <col min="5" max="5" width="16.19921875" style="647" customWidth="1"/>
    <col min="6" max="6" width="8.09765625" style="647" customWidth="1"/>
    <col min="7" max="7" width="10.19921875" style="647" customWidth="1"/>
    <col min="8" max="8" width="8.8984375" style="647" customWidth="1"/>
    <col min="9" max="9" width="5.8984375" style="647" customWidth="1"/>
    <col min="10" max="10" width="10" style="647" customWidth="1"/>
    <col min="11" max="16384" width="8.8984375" style="647" customWidth="1"/>
  </cols>
  <sheetData>
    <row r="1" spans="2:5" ht="15.75">
      <c r="B1" s="650">
        <f>inputPrYr!D3</f>
        <v>0</v>
      </c>
      <c r="C1" s="650"/>
      <c r="D1" s="649"/>
      <c r="E1" s="648">
        <f>inputPrYr!D22</f>
        <v>0</v>
      </c>
    </row>
    <row r="2" spans="2:5" ht="15.75">
      <c r="B2" s="649"/>
      <c r="C2" s="649"/>
      <c r="D2" s="649"/>
      <c r="E2" s="646"/>
    </row>
    <row r="3" spans="2:5" ht="15.75">
      <c r="B3" s="645" t="s">
        <v>70</v>
      </c>
      <c r="C3" s="645"/>
      <c r="D3" s="644"/>
      <c r="E3" s="643"/>
    </row>
    <row r="4" spans="2:5" ht="15.75">
      <c r="B4" s="642" t="s">
        <v>24</v>
      </c>
      <c r="C4" s="641" t="s">
        <v>185</v>
      </c>
      <c r="D4" s="640" t="s">
        <v>186</v>
      </c>
      <c r="E4" s="639" t="s">
        <v>187</v>
      </c>
    </row>
    <row r="5" spans="2:5" ht="15.75">
      <c r="B5" s="638" t="str">
        <f>inputPrYr!B36</f>
        <v>Debt Service</v>
      </c>
      <c r="C5" s="637" t="str">
        <f>CONCATENATE("Actual for ",$E$1-2,"")</f>
        <v>Actual for -2</v>
      </c>
      <c r="D5" s="636" t="str">
        <f>CONCATENATE("Estimate for ",$E$1-1,"")</f>
        <v>Estimate for -1</v>
      </c>
      <c r="E5" s="635" t="str">
        <f>CONCATENATE("Year for ",$E$1,"")</f>
        <v>Year for 0</v>
      </c>
    </row>
    <row r="6" spans="2:5" ht="15.75">
      <c r="B6" s="634" t="s">
        <v>104</v>
      </c>
      <c r="C6" s="633"/>
      <c r="D6" s="632">
        <f>C36</f>
        <v>0</v>
      </c>
      <c r="E6" s="631">
        <f>D36</f>
        <v>0</v>
      </c>
    </row>
    <row r="7" spans="2:5" ht="15.75">
      <c r="B7" s="634" t="s">
        <v>106</v>
      </c>
      <c r="C7" s="630"/>
      <c r="D7" s="632"/>
      <c r="E7" s="631"/>
    </row>
    <row r="8" spans="2:5" ht="15.75">
      <c r="B8" s="634" t="s">
        <v>25</v>
      </c>
      <c r="C8" s="629"/>
      <c r="D8" s="632">
        <f>IF(inputPrYr!H34&gt;0,inputPrYr!G36,inputPrYr!E36)</f>
        <v>0</v>
      </c>
      <c r="E8" s="628" t="s">
        <v>20</v>
      </c>
    </row>
    <row r="9" spans="2:5" ht="15.75">
      <c r="B9" s="634" t="s">
        <v>26</v>
      </c>
      <c r="C9" s="629"/>
      <c r="D9" s="627"/>
      <c r="E9" s="626"/>
    </row>
    <row r="10" spans="2:5" ht="15.75">
      <c r="B10" s="634" t="s">
        <v>27</v>
      </c>
      <c r="C10" s="629"/>
      <c r="D10" s="627"/>
      <c r="E10" s="631">
        <f>mvalloc!D12</f>
        <v>0</v>
      </c>
    </row>
    <row r="11" spans="2:5" ht="15.75">
      <c r="B11" s="634" t="s">
        <v>28</v>
      </c>
      <c r="C11" s="629"/>
      <c r="D11" s="627"/>
      <c r="E11" s="631">
        <f>mvalloc!E12</f>
        <v>0</v>
      </c>
    </row>
    <row r="12" spans="2:5" ht="15.75">
      <c r="B12" s="625" t="s">
        <v>97</v>
      </c>
      <c r="C12" s="629"/>
      <c r="D12" s="627"/>
      <c r="E12" s="631">
        <f>mvalloc!F12</f>
        <v>0</v>
      </c>
    </row>
    <row r="13" spans="2:5" ht="15.75">
      <c r="B13" s="782" t="s">
        <v>772</v>
      </c>
      <c r="C13" s="629"/>
      <c r="D13" s="627"/>
      <c r="E13" s="631">
        <f>mvalloc!G12</f>
        <v>0</v>
      </c>
    </row>
    <row r="14" spans="2:5" ht="15.75">
      <c r="B14" s="782" t="s">
        <v>773</v>
      </c>
      <c r="C14" s="629"/>
      <c r="D14" s="627"/>
      <c r="E14" s="631">
        <f>mvalloc!H12</f>
        <v>0</v>
      </c>
    </row>
    <row r="15" spans="2:5" ht="15.75">
      <c r="B15" s="624"/>
      <c r="C15" s="629"/>
      <c r="D15" s="627"/>
      <c r="E15" s="623"/>
    </row>
    <row r="16" spans="2:5" ht="15.75">
      <c r="B16" s="624"/>
      <c r="C16" s="629"/>
      <c r="D16" s="627"/>
      <c r="E16" s="626"/>
    </row>
    <row r="17" spans="2:5" ht="15.75">
      <c r="B17" s="624"/>
      <c r="C17" s="629"/>
      <c r="D17" s="627"/>
      <c r="E17" s="626"/>
    </row>
    <row r="18" spans="2:5" ht="15.75">
      <c r="B18" s="624"/>
      <c r="C18" s="629"/>
      <c r="D18" s="627"/>
      <c r="E18" s="626"/>
    </row>
    <row r="19" spans="2:10" ht="15.75">
      <c r="B19" s="622" t="s">
        <v>29</v>
      </c>
      <c r="C19" s="629"/>
      <c r="D19" s="627"/>
      <c r="E19" s="626"/>
      <c r="G19" s="927" t="str">
        <f>CONCATENATE("Desired Carryover Into ",E1+1,"")</f>
        <v>Desired Carryover Into 1</v>
      </c>
      <c r="H19" s="928"/>
      <c r="I19" s="928"/>
      <c r="J19" s="929"/>
    </row>
    <row r="20" spans="2:10" ht="15.75">
      <c r="B20" s="601" t="s">
        <v>169</v>
      </c>
      <c r="C20" s="629"/>
      <c r="D20" s="627"/>
      <c r="E20" s="631">
        <f>Nhood!E8*-1</f>
        <v>0</v>
      </c>
      <c r="G20" s="615"/>
      <c r="H20" s="614"/>
      <c r="I20" s="613"/>
      <c r="J20" s="612"/>
    </row>
    <row r="21" spans="2:10" ht="15.75">
      <c r="B21" s="634" t="s">
        <v>170</v>
      </c>
      <c r="C21" s="621"/>
      <c r="D21" s="627"/>
      <c r="E21" s="626"/>
      <c r="G21" s="611" t="s">
        <v>576</v>
      </c>
      <c r="H21" s="613"/>
      <c r="I21" s="613"/>
      <c r="J21" s="610">
        <v>0</v>
      </c>
    </row>
    <row r="22" spans="2:10" ht="15.75">
      <c r="B22" s="634" t="s">
        <v>568</v>
      </c>
      <c r="C22" s="620">
        <f>IF(C23*0.1&lt;C21,"Exceed 10% Rule","")</f>
      </c>
      <c r="D22" s="620">
        <f>IF(D23*0.1&lt;D21,"Exceeds 10% Rule","")</f>
      </c>
      <c r="E22" s="619">
        <f>IF(E23*0.1+E42&lt;E21,"Exceed 10% Rule","")</f>
      </c>
      <c r="G22" s="615" t="s">
        <v>577</v>
      </c>
      <c r="H22" s="614"/>
      <c r="I22" s="614"/>
      <c r="J22" s="609">
        <f>IF(J21=0,"",ROUND((J21+E42-G34)/inputOth!C26*1000,3)-G39)</f>
      </c>
    </row>
    <row r="23" spans="2:10" ht="15.75">
      <c r="B23" s="618" t="s">
        <v>30</v>
      </c>
      <c r="C23" s="617">
        <f>SUM(C8:C21)</f>
        <v>0</v>
      </c>
      <c r="D23" s="617">
        <f>SUM(D8:D21)</f>
        <v>0</v>
      </c>
      <c r="E23" s="616">
        <f>SUM(E9:E21)</f>
        <v>0</v>
      </c>
      <c r="G23" s="608" t="str">
        <f>CONCATENATE("",E1," Tot Exp/Non-Appr Must Be:")</f>
        <v>0 Tot Exp/Non-Appr Must Be:</v>
      </c>
      <c r="H23" s="607"/>
      <c r="I23" s="606"/>
      <c r="J23" s="605">
        <f>IF(J21&gt;0,IF(E39&lt;E24,IF(J21=G34,E40,((J21-G34)*(1-D41))+E24),E40+(J21-G34)),0)</f>
        <v>0</v>
      </c>
    </row>
    <row r="24" spans="2:10" ht="15.75">
      <c r="B24" s="618" t="s">
        <v>31</v>
      </c>
      <c r="C24" s="617">
        <f>C6+C23</f>
        <v>0</v>
      </c>
      <c r="D24" s="617">
        <f>D6+D23</f>
        <v>0</v>
      </c>
      <c r="E24" s="616">
        <f>E6+E23</f>
        <v>0</v>
      </c>
      <c r="G24" s="604" t="s">
        <v>597</v>
      </c>
      <c r="H24" s="603"/>
      <c r="I24" s="603"/>
      <c r="J24" s="602">
        <f>IF(J21&gt;0,J23-E40,0)</f>
        <v>0</v>
      </c>
    </row>
    <row r="25" spans="2:5" ht="15.75">
      <c r="B25" s="634" t="s">
        <v>32</v>
      </c>
      <c r="C25" s="634"/>
      <c r="D25" s="632"/>
      <c r="E25" s="631"/>
    </row>
    <row r="26" spans="2:10" ht="15.75">
      <c r="B26" s="624"/>
      <c r="C26" s="629"/>
      <c r="D26" s="627"/>
      <c r="E26" s="626"/>
      <c r="G26" s="927" t="str">
        <f>CONCATENATE("Projected Carryover Into ",E1+1,"")</f>
        <v>Projected Carryover Into 1</v>
      </c>
      <c r="H26" s="937"/>
      <c r="I26" s="937"/>
      <c r="J26" s="931"/>
    </row>
    <row r="27" spans="2:10" ht="15.75">
      <c r="B27" s="624"/>
      <c r="C27" s="629"/>
      <c r="D27" s="627"/>
      <c r="E27" s="626"/>
      <c r="G27" s="615"/>
      <c r="H27" s="613"/>
      <c r="I27" s="613"/>
      <c r="J27" s="600"/>
    </row>
    <row r="28" spans="2:10" ht="15.75">
      <c r="B28" s="624"/>
      <c r="C28" s="627"/>
      <c r="D28" s="627"/>
      <c r="E28" s="626"/>
      <c r="G28" s="597">
        <f>D36</f>
        <v>0</v>
      </c>
      <c r="H28" s="596" t="str">
        <f>CONCATENATE("",E1-1," Ending Cash Balance (est.)")</f>
        <v>-1 Ending Cash Balance (est.)</v>
      </c>
      <c r="I28" s="595"/>
      <c r="J28" s="600"/>
    </row>
    <row r="29" spans="2:10" ht="15.75">
      <c r="B29" s="624"/>
      <c r="C29" s="629"/>
      <c r="D29" s="627"/>
      <c r="E29" s="626"/>
      <c r="G29" s="597">
        <f>E23</f>
        <v>0</v>
      </c>
      <c r="H29" s="613" t="str">
        <f>CONCATENATE("",E1," Non-AV Receipts (est.)")</f>
        <v>0 Non-AV Receipts (est.)</v>
      </c>
      <c r="I29" s="595"/>
      <c r="J29" s="600"/>
    </row>
    <row r="30" spans="2:11" ht="15.75">
      <c r="B30" s="624"/>
      <c r="C30" s="629"/>
      <c r="D30" s="627"/>
      <c r="E30" s="626"/>
      <c r="G30" s="590">
        <f>IF(E41&gt;0,E40,E42)</f>
        <v>0</v>
      </c>
      <c r="H30" s="613" t="str">
        <f>CONCATENATE("",E1," Ad Valorem Tax (est.)")</f>
        <v>0 Ad Valorem Tax (est.)</v>
      </c>
      <c r="I30" s="595"/>
      <c r="J30" s="600"/>
      <c r="K30" s="589">
        <f>IF(G30=E42,"","Note: Does not include Delinquent Taxes")</f>
      </c>
    </row>
    <row r="31" spans="2:10" ht="15.75">
      <c r="B31" s="624"/>
      <c r="C31" s="629"/>
      <c r="D31" s="627"/>
      <c r="E31" s="626"/>
      <c r="G31" s="597">
        <f>SUM(G28:G30)</f>
        <v>0</v>
      </c>
      <c r="H31" s="613" t="str">
        <f>CONCATENATE("Total ",E1," Resources Available")</f>
        <v>Total 0 Resources Available</v>
      </c>
      <c r="I31" s="595"/>
      <c r="J31" s="600"/>
    </row>
    <row r="32" spans="2:10" ht="15.75">
      <c r="B32" s="601" t="str">
        <f>CONCATENATE("Cash Basis Reserve (",E1," column)")</f>
        <v>Cash Basis Reserve (0 column)</v>
      </c>
      <c r="C32" s="629"/>
      <c r="D32" s="627"/>
      <c r="E32" s="626"/>
      <c r="G32" s="586"/>
      <c r="H32" s="613"/>
      <c r="I32" s="613"/>
      <c r="J32" s="600"/>
    </row>
    <row r="33" spans="2:10" ht="15.75">
      <c r="B33" s="601" t="s">
        <v>170</v>
      </c>
      <c r="C33" s="621"/>
      <c r="D33" s="627"/>
      <c r="E33" s="626"/>
      <c r="G33" s="590">
        <f>C35</f>
        <v>0</v>
      </c>
      <c r="H33" s="613" t="str">
        <f>CONCATENATE("Less ",E1-2," Expenditures")</f>
        <v>Less -2 Expenditures</v>
      </c>
      <c r="I33" s="613"/>
      <c r="J33" s="600"/>
    </row>
    <row r="34" spans="2:10" ht="15.75">
      <c r="B34" s="601" t="s">
        <v>678</v>
      </c>
      <c r="C34" s="620">
        <f>IF(C35*0.1&lt;C33,"Exceed 10% Rule","")</f>
      </c>
      <c r="D34" s="620">
        <f>IF(D35*0.1&lt;D33,"Exceed 10% Rule","")</f>
      </c>
      <c r="E34" s="619">
        <f>IF(E35*0.1&lt;E33,"Exceed 10% Rule","")</f>
      </c>
      <c r="G34" s="582">
        <f>G31-G33</f>
        <v>0</v>
      </c>
      <c r="H34" s="581" t="str">
        <f>CONCATENATE("Projected ",E1+1," carryover (est.)")</f>
        <v>Projected 1 carryover (est.)</v>
      </c>
      <c r="I34" s="580"/>
      <c r="J34" s="579"/>
    </row>
    <row r="35" spans="2:5" ht="15.75">
      <c r="B35" s="618" t="s">
        <v>33</v>
      </c>
      <c r="C35" s="599">
        <f>SUM(C26:C33)</f>
        <v>0</v>
      </c>
      <c r="D35" s="599">
        <f>SUM(D26:D33)</f>
        <v>0</v>
      </c>
      <c r="E35" s="598">
        <f>SUM(E26:E33)</f>
        <v>0</v>
      </c>
    </row>
    <row r="36" spans="2:10" ht="15.75">
      <c r="B36" s="634" t="s">
        <v>105</v>
      </c>
      <c r="C36" s="594">
        <f>C24-C35</f>
        <v>0</v>
      </c>
      <c r="D36" s="594">
        <f>D24-D35</f>
        <v>0</v>
      </c>
      <c r="E36" s="628" t="s">
        <v>20</v>
      </c>
      <c r="F36" s="593"/>
      <c r="G36" s="934" t="s">
        <v>598</v>
      </c>
      <c r="H36" s="935"/>
      <c r="I36" s="935"/>
      <c r="J36" s="936"/>
    </row>
    <row r="37" spans="2:10" ht="15.75">
      <c r="B37" s="693" t="str">
        <f>CONCATENATE("",E1-2,"/",E1-1,"/",E1," Budget Authority Amount:")</f>
        <v>-2/-1/0 Budget Authority Amount:</v>
      </c>
      <c r="C37" s="692">
        <f>inputOth!C93</f>
        <v>0</v>
      </c>
      <c r="D37" s="691">
        <f>inputPrYr!D36</f>
        <v>0</v>
      </c>
      <c r="E37" s="631">
        <f>E35</f>
        <v>0</v>
      </c>
      <c r="F37" s="591"/>
      <c r="G37" s="575"/>
      <c r="H37" s="596"/>
      <c r="I37" s="574"/>
      <c r="J37" s="573"/>
    </row>
    <row r="38" spans="2:10" ht="15.75">
      <c r="B38" s="592"/>
      <c r="C38" s="915" t="s">
        <v>570</v>
      </c>
      <c r="D38" s="916"/>
      <c r="E38" s="626"/>
      <c r="F38" s="588">
        <f>IF(E35/0.95-E35&lt;E38,"Exceeds 5%","")</f>
      </c>
      <c r="G38" s="572" t="str">
        <f>summ!H22</f>
        <v> </v>
      </c>
      <c r="H38" s="596" t="str">
        <f>CONCATENATE("",E1," Fund Mill Rate")</f>
        <v>0 Fund Mill Rate</v>
      </c>
      <c r="I38" s="574"/>
      <c r="J38" s="573"/>
    </row>
    <row r="39" spans="2:10" ht="15.75">
      <c r="B39" s="587" t="str">
        <f>CONCATENATE(C97,"     ",D97)</f>
        <v>     </v>
      </c>
      <c r="C39" s="917" t="s">
        <v>571</v>
      </c>
      <c r="D39" s="918"/>
      <c r="E39" s="631">
        <f>E35+E38</f>
        <v>0</v>
      </c>
      <c r="F39" s="593"/>
      <c r="G39" s="571" t="str">
        <f>summ!E22</f>
        <v>  </v>
      </c>
      <c r="H39" s="596" t="str">
        <f>CONCATENATE("",E1-1," Fund Mill Rate")</f>
        <v>-1 Fund Mill Rate</v>
      </c>
      <c r="I39" s="574"/>
      <c r="J39" s="573"/>
    </row>
    <row r="40" spans="2:10" ht="15.75">
      <c r="B40" s="587" t="str">
        <f>CONCATENATE(C98,"     ",D98)</f>
        <v>     </v>
      </c>
      <c r="C40" s="585"/>
      <c r="D40" s="646" t="s">
        <v>34</v>
      </c>
      <c r="E40" s="584">
        <f>IF(E39-E24&gt;0,E39-E24,0)</f>
        <v>0</v>
      </c>
      <c r="F40" s="593"/>
      <c r="G40" s="569">
        <f>summ!H29</f>
        <v>0</v>
      </c>
      <c r="H40" s="596" t="str">
        <f>CONCATENATE("Total ",E1," Mill Rate")</f>
        <v>Total 0 Mill Rate</v>
      </c>
      <c r="I40" s="574"/>
      <c r="J40" s="573"/>
    </row>
    <row r="41" spans="2:10" ht="15.75">
      <c r="B41" s="646"/>
      <c r="C41" s="415" t="s">
        <v>572</v>
      </c>
      <c r="D41" s="583">
        <f>inputOth!G86</f>
        <v>0</v>
      </c>
      <c r="E41" s="631">
        <f>ROUND(IF(D41&gt;0,(E40*D41),0),0)</f>
        <v>0</v>
      </c>
      <c r="F41" s="593"/>
      <c r="G41" s="571">
        <f>summ!E29</f>
        <v>0</v>
      </c>
      <c r="H41" s="568" t="str">
        <f>CONCATENATE("Total ",E1-1," Mill Rate")</f>
        <v>Total -1 Mill Rate</v>
      </c>
      <c r="I41" s="567"/>
      <c r="J41" s="566"/>
    </row>
    <row r="42" spans="2:6" ht="16.5" thickBot="1">
      <c r="B42" s="649"/>
      <c r="C42" s="932" t="str">
        <f>CONCATENATE("Amount of  ",E1-1," Ad Valorem Tax")</f>
        <v>Amount of  -1 Ad Valorem Tax</v>
      </c>
      <c r="D42" s="933"/>
      <c r="E42" s="578">
        <f>SUM(E40:E41)</f>
        <v>0</v>
      </c>
      <c r="F42" s="593"/>
    </row>
    <row r="43" spans="2:10" ht="16.5" thickTop="1">
      <c r="B43" s="649"/>
      <c r="C43" s="932"/>
      <c r="D43" s="933"/>
      <c r="E43" s="577"/>
      <c r="F43" s="593"/>
      <c r="G43" s="787" t="s">
        <v>780</v>
      </c>
      <c r="H43" s="788"/>
      <c r="I43" s="797"/>
      <c r="J43" s="789" t="str">
        <f>cert!G35</f>
        <v>No</v>
      </c>
    </row>
    <row r="44" spans="2:10" ht="15.75">
      <c r="B44" s="649"/>
      <c r="C44" s="576"/>
      <c r="D44" s="649"/>
      <c r="E44" s="649"/>
      <c r="F44" s="593"/>
      <c r="G44" s="798" t="str">
        <f>CONCATENATE("Computed ",E1," tax levy limit amount")</f>
        <v>Computed 0 tax levy limit amount</v>
      </c>
      <c r="H44" s="799"/>
      <c r="I44" s="799"/>
      <c r="J44" s="800">
        <f>computation!J41</f>
        <v>0</v>
      </c>
    </row>
    <row r="45" spans="2:10" ht="15.75">
      <c r="B45" s="642"/>
      <c r="C45" s="642"/>
      <c r="D45" s="644"/>
      <c r="E45" s="644"/>
      <c r="F45" s="593"/>
      <c r="G45" s="801" t="str">
        <f>CONCATENATE("Total ",E1," tax levy amount")</f>
        <v>Total 0 tax levy amount</v>
      </c>
      <c r="H45" s="802"/>
      <c r="I45" s="802"/>
      <c r="J45" s="803">
        <f>summ!G29</f>
        <v>0</v>
      </c>
    </row>
    <row r="46" spans="2:6" ht="15.75">
      <c r="B46" s="642" t="s">
        <v>24</v>
      </c>
      <c r="C46" s="641" t="s">
        <v>185</v>
      </c>
      <c r="D46" s="640" t="s">
        <v>186</v>
      </c>
      <c r="E46" s="639" t="s">
        <v>187</v>
      </c>
      <c r="F46" s="593"/>
    </row>
    <row r="47" spans="2:6" ht="15.75">
      <c r="B47" s="570" t="str">
        <f>inputPrYr!B37</f>
        <v>Employee Benefits</v>
      </c>
      <c r="C47" s="637" t="str">
        <f>CONCATENATE("Actual for ",$E$1-2,"")</f>
        <v>Actual for -2</v>
      </c>
      <c r="D47" s="636" t="str">
        <f>CONCATENATE("Estimate for ",$E$1-1,"")</f>
        <v>Estimate for -1</v>
      </c>
      <c r="E47" s="635" t="str">
        <f>CONCATENATE("Year for ",$E$1,"")</f>
        <v>Year for 0</v>
      </c>
      <c r="F47" s="593"/>
    </row>
    <row r="48" spans="2:6" ht="15.75">
      <c r="B48" s="634" t="s">
        <v>104</v>
      </c>
      <c r="C48" s="629">
        <v>0</v>
      </c>
      <c r="D48" s="632">
        <f>C78</f>
        <v>0</v>
      </c>
      <c r="E48" s="631">
        <f>D78</f>
        <v>0</v>
      </c>
      <c r="F48" s="593"/>
    </row>
    <row r="49" spans="2:6" ht="15.75">
      <c r="B49" s="565" t="s">
        <v>106</v>
      </c>
      <c r="C49" s="634"/>
      <c r="D49" s="632"/>
      <c r="E49" s="631"/>
      <c r="F49" s="593"/>
    </row>
    <row r="50" spans="2:6" ht="15.75">
      <c r="B50" s="634" t="s">
        <v>25</v>
      </c>
      <c r="C50" s="621"/>
      <c r="D50" s="632">
        <f>IF(inputPrYr!H34&gt;0,inputPrYr!G37,inputPrYr!E37)</f>
        <v>0</v>
      </c>
      <c r="E50" s="628" t="s">
        <v>20</v>
      </c>
      <c r="F50" s="593"/>
    </row>
    <row r="51" spans="2:6" ht="15.75">
      <c r="B51" s="634" t="s">
        <v>26</v>
      </c>
      <c r="C51" s="621"/>
      <c r="D51" s="627"/>
      <c r="E51" s="626"/>
      <c r="F51" s="593"/>
    </row>
    <row r="52" spans="2:6" ht="15.75">
      <c r="B52" s="634" t="s">
        <v>27</v>
      </c>
      <c r="C52" s="621"/>
      <c r="D52" s="627"/>
      <c r="E52" s="631">
        <f>mvalloc!D13</f>
        <v>0</v>
      </c>
      <c r="F52" s="593"/>
    </row>
    <row r="53" spans="2:6" ht="15.75">
      <c r="B53" s="634" t="s">
        <v>28</v>
      </c>
      <c r="C53" s="621"/>
      <c r="D53" s="627"/>
      <c r="E53" s="631">
        <f>mvalloc!E13</f>
        <v>0</v>
      </c>
      <c r="F53" s="593"/>
    </row>
    <row r="54" spans="2:5" ht="15.75">
      <c r="B54" s="625" t="s">
        <v>97</v>
      </c>
      <c r="C54" s="621"/>
      <c r="D54" s="627"/>
      <c r="E54" s="631">
        <f>mvalloc!F13</f>
        <v>0</v>
      </c>
    </row>
    <row r="55" spans="2:5" ht="15.75">
      <c r="B55" s="782" t="s">
        <v>772</v>
      </c>
      <c r="C55" s="621"/>
      <c r="D55" s="627"/>
      <c r="E55" s="631">
        <f>mvalloc!G13</f>
        <v>0</v>
      </c>
    </row>
    <row r="56" spans="2:5" ht="15.75">
      <c r="B56" s="782" t="s">
        <v>773</v>
      </c>
      <c r="C56" s="621"/>
      <c r="D56" s="627"/>
      <c r="E56" s="631">
        <f>mvalloc!H13</f>
        <v>0</v>
      </c>
    </row>
    <row r="57" spans="2:5" ht="15.75">
      <c r="B57" s="624"/>
      <c r="C57" s="621"/>
      <c r="D57" s="627"/>
      <c r="E57" s="623"/>
    </row>
    <row r="58" spans="2:5" ht="15.75">
      <c r="B58" s="624"/>
      <c r="C58" s="621"/>
      <c r="D58" s="627"/>
      <c r="E58" s="623"/>
    </row>
    <row r="59" spans="2:5" ht="15.75">
      <c r="B59" s="624"/>
      <c r="C59" s="621"/>
      <c r="D59" s="627"/>
      <c r="E59" s="626"/>
    </row>
    <row r="60" spans="2:5" ht="15.75">
      <c r="B60" s="624"/>
      <c r="C60" s="621"/>
      <c r="D60" s="627"/>
      <c r="E60" s="626"/>
    </row>
    <row r="61" spans="2:10" ht="15.75">
      <c r="B61" s="622" t="s">
        <v>29</v>
      </c>
      <c r="C61" s="621"/>
      <c r="D61" s="627"/>
      <c r="E61" s="626"/>
      <c r="G61" s="927" t="str">
        <f>CONCATENATE("Desired Carryover Into ",E1+1,"")</f>
        <v>Desired Carryover Into 1</v>
      </c>
      <c r="H61" s="928"/>
      <c r="I61" s="928"/>
      <c r="J61" s="929"/>
    </row>
    <row r="62" spans="2:10" ht="15.75">
      <c r="B62" s="625" t="s">
        <v>169</v>
      </c>
      <c r="C62" s="621"/>
      <c r="D62" s="627"/>
      <c r="E62" s="631">
        <f>Nhood!E9*-1</f>
        <v>0</v>
      </c>
      <c r="G62" s="615"/>
      <c r="H62" s="614"/>
      <c r="I62" s="613"/>
      <c r="J62" s="612"/>
    </row>
    <row r="63" spans="2:10" ht="15.75">
      <c r="B63" s="634" t="s">
        <v>170</v>
      </c>
      <c r="C63" s="621"/>
      <c r="D63" s="621"/>
      <c r="E63" s="564"/>
      <c r="G63" s="611" t="s">
        <v>576</v>
      </c>
      <c r="H63" s="613"/>
      <c r="I63" s="613"/>
      <c r="J63" s="610">
        <v>0</v>
      </c>
    </row>
    <row r="64" spans="2:10" ht="15.75">
      <c r="B64" s="634" t="s">
        <v>568</v>
      </c>
      <c r="C64" s="620">
        <f>IF(C65*0.1&lt;C63,"Exceed 10% Rule","")</f>
      </c>
      <c r="D64" s="620">
        <f>IF(D65*0.1&lt;D63,"Exceeds 10% Rule","")</f>
      </c>
      <c r="E64" s="619">
        <f>IF(E65*0.1+E84&lt;E63,"Exceed 10% Rule","")</f>
      </c>
      <c r="G64" s="615" t="s">
        <v>577</v>
      </c>
      <c r="H64" s="614"/>
      <c r="I64" s="614"/>
      <c r="J64" s="609">
        <f>IF(J63=0,"",ROUND((J63+E84-G76)/inputOth!C26*1000,3)-G81)</f>
      </c>
    </row>
    <row r="65" spans="2:10" ht="15.75">
      <c r="B65" s="618" t="s">
        <v>30</v>
      </c>
      <c r="C65" s="599">
        <f>SUM(C50:C63)</f>
        <v>0</v>
      </c>
      <c r="D65" s="599">
        <f>SUM(D50:D63)</f>
        <v>0</v>
      </c>
      <c r="E65" s="598">
        <f>SUM(E51:E63)</f>
        <v>0</v>
      </c>
      <c r="G65" s="608" t="str">
        <f>CONCATENATE("",E1," Tot Exp/Non-Appr Must Be:")</f>
        <v>0 Tot Exp/Non-Appr Must Be:</v>
      </c>
      <c r="H65" s="607"/>
      <c r="I65" s="606"/>
      <c r="J65" s="605">
        <f>IF(J63&gt;0,IF(E81&lt;E66,IF(J63=G76,E81,((J63-G76)*(1-D83))+E66),E81+(J63-G76)),0)</f>
        <v>0</v>
      </c>
    </row>
    <row r="66" spans="2:10" ht="15.75">
      <c r="B66" s="618" t="s">
        <v>31</v>
      </c>
      <c r="C66" s="599">
        <f>C48+C65</f>
        <v>0</v>
      </c>
      <c r="D66" s="599">
        <f>D48+D65</f>
        <v>0</v>
      </c>
      <c r="E66" s="598">
        <f>E48+E65</f>
        <v>0</v>
      </c>
      <c r="G66" s="604" t="s">
        <v>597</v>
      </c>
      <c r="H66" s="603"/>
      <c r="I66" s="603"/>
      <c r="J66" s="602">
        <f>IF(J63&gt;0,J65-E81,0)</f>
        <v>0</v>
      </c>
    </row>
    <row r="67" spans="2:5" ht="15.75">
      <c r="B67" s="634" t="s">
        <v>32</v>
      </c>
      <c r="C67" s="634"/>
      <c r="D67" s="632"/>
      <c r="E67" s="631"/>
    </row>
    <row r="68" spans="2:10" ht="15.75">
      <c r="B68" s="624"/>
      <c r="C68" s="629"/>
      <c r="D68" s="627"/>
      <c r="E68" s="626"/>
      <c r="G68" s="927" t="str">
        <f>CONCATENATE("Projected Carryover Into ",E1+1,"")</f>
        <v>Projected Carryover Into 1</v>
      </c>
      <c r="H68" s="930"/>
      <c r="I68" s="930"/>
      <c r="J68" s="931"/>
    </row>
    <row r="69" spans="2:10" ht="15.75">
      <c r="B69" s="624"/>
      <c r="C69" s="629"/>
      <c r="D69" s="627"/>
      <c r="E69" s="626"/>
      <c r="G69" s="563"/>
      <c r="H69" s="614"/>
      <c r="I69" s="614"/>
      <c r="J69" s="562"/>
    </row>
    <row r="70" spans="2:10" ht="15.75">
      <c r="B70" s="624"/>
      <c r="C70" s="629"/>
      <c r="D70" s="627"/>
      <c r="E70" s="626"/>
      <c r="G70" s="597">
        <f>D78</f>
        <v>0</v>
      </c>
      <c r="H70" s="596" t="str">
        <f>CONCATENATE("",E1-1," Ending Cash Balance (est.)")</f>
        <v>-1 Ending Cash Balance (est.)</v>
      </c>
      <c r="I70" s="595"/>
      <c r="J70" s="562"/>
    </row>
    <row r="71" spans="2:10" ht="15.75">
      <c r="B71" s="624"/>
      <c r="C71" s="629"/>
      <c r="D71" s="627"/>
      <c r="E71" s="626"/>
      <c r="G71" s="597">
        <f>E65</f>
        <v>0</v>
      </c>
      <c r="H71" s="613" t="str">
        <f>CONCATENATE("",E1," Non-AV Receipts (est.)")</f>
        <v>0 Non-AV Receipts (est.)</v>
      </c>
      <c r="I71" s="595"/>
      <c r="J71" s="562"/>
    </row>
    <row r="72" spans="2:11" ht="15.75">
      <c r="B72" s="624"/>
      <c r="C72" s="629"/>
      <c r="D72" s="627"/>
      <c r="E72" s="626"/>
      <c r="G72" s="590">
        <f>IF(E83&gt;0,E82,E84)</f>
        <v>0</v>
      </c>
      <c r="H72" s="613" t="str">
        <f>CONCATENATE("",E1," Ad Valorem Tax (est.)")</f>
        <v>0 Ad Valorem Tax (est.)</v>
      </c>
      <c r="I72" s="613"/>
      <c r="J72" s="819"/>
      <c r="K72" s="820">
        <f>IF(G72=E84,"","Note: Does not include Delinquent Taxes")</f>
      </c>
    </row>
    <row r="73" spans="2:10" ht="15.75">
      <c r="B73" s="624"/>
      <c r="C73" s="629"/>
      <c r="D73" s="627"/>
      <c r="E73" s="626"/>
      <c r="G73" s="560">
        <f>SUM(G70:G72)</f>
        <v>0</v>
      </c>
      <c r="H73" s="613" t="str">
        <f>CONCATENATE("Total ",E1," Resources Available")</f>
        <v>Total 0 Resources Available</v>
      </c>
      <c r="I73" s="559"/>
      <c r="J73" s="562"/>
    </row>
    <row r="74" spans="2:10" ht="15.75">
      <c r="B74" s="601" t="str">
        <f>CONCATENATE("Cash Forward (",E1," column)")</f>
        <v>Cash Forward (0 column)</v>
      </c>
      <c r="C74" s="629"/>
      <c r="D74" s="627"/>
      <c r="E74" s="626"/>
      <c r="F74" s="593"/>
      <c r="G74" s="558"/>
      <c r="H74" s="557"/>
      <c r="I74" s="614"/>
      <c r="J74" s="562"/>
    </row>
    <row r="75" spans="2:11" ht="15.75">
      <c r="B75" s="625" t="s">
        <v>170</v>
      </c>
      <c r="C75" s="621"/>
      <c r="D75" s="627"/>
      <c r="E75" s="626"/>
      <c r="F75" s="593"/>
      <c r="G75" s="556">
        <f>ROUND(C77*0.05+C77,0)</f>
        <v>0</v>
      </c>
      <c r="H75" s="557" t="str">
        <f>CONCATENATE("Less ",E1-2," Expenditures + 5%")</f>
        <v>Less -2 Expenditures + 5%</v>
      </c>
      <c r="I75" s="614"/>
      <c r="J75" s="819"/>
      <c r="K75" s="821"/>
    </row>
    <row r="76" spans="2:11" ht="15.75">
      <c r="B76" s="625" t="s">
        <v>678</v>
      </c>
      <c r="C76" s="620">
        <f>IF(C77*0.1&lt;C75,"Exceed 10% Rule","")</f>
      </c>
      <c r="D76" s="620">
        <f>IF(D77*0.1&lt;D75,"Exceed 10% Rule","")</f>
      </c>
      <c r="E76" s="619">
        <f>IF(E77*0.1&lt;E75,"Exceed 10% Rule","")</f>
      </c>
      <c r="F76" s="593"/>
      <c r="G76" s="555">
        <f>G73-G75</f>
        <v>0</v>
      </c>
      <c r="H76" s="554" t="str">
        <f>CONCATENATE("Projected ",E1+1," carryover (est.)")</f>
        <v>Projected 1 carryover (est.)</v>
      </c>
      <c r="I76" s="818"/>
      <c r="J76" s="553"/>
      <c r="K76" s="821"/>
    </row>
    <row r="77" spans="2:6" ht="15.75">
      <c r="B77" s="618" t="s">
        <v>33</v>
      </c>
      <c r="C77" s="599">
        <f>SUM(C68:C75)</f>
        <v>0</v>
      </c>
      <c r="D77" s="599">
        <f>SUM(D68:D75)</f>
        <v>0</v>
      </c>
      <c r="E77" s="598">
        <f>SUM(E68:E75)</f>
        <v>0</v>
      </c>
      <c r="F77" s="593"/>
    </row>
    <row r="78" spans="2:10" ht="15.75">
      <c r="B78" s="634" t="s">
        <v>105</v>
      </c>
      <c r="C78" s="594">
        <f>C66-C77</f>
        <v>0</v>
      </c>
      <c r="D78" s="594">
        <f>D66-D77</f>
        <v>0</v>
      </c>
      <c r="E78" s="628" t="s">
        <v>20</v>
      </c>
      <c r="F78" s="593"/>
      <c r="G78" s="934" t="s">
        <v>598</v>
      </c>
      <c r="H78" s="935"/>
      <c r="I78" s="935"/>
      <c r="J78" s="936"/>
    </row>
    <row r="79" spans="2:10" ht="15.75">
      <c r="B79" s="693" t="str">
        <f>CONCATENATE("",E1-2,"/",E1-1,"/",E1," Budget Authority Amount:")</f>
        <v>-2/-1/0 Budget Authority Amount:</v>
      </c>
      <c r="C79" s="692">
        <f>inputOth!C94</f>
        <v>0</v>
      </c>
      <c r="D79" s="692">
        <f>inputPrYr!D37</f>
        <v>0</v>
      </c>
      <c r="E79" s="631">
        <f>E77</f>
        <v>0</v>
      </c>
      <c r="F79" s="591"/>
      <c r="G79" s="575"/>
      <c r="H79" s="596"/>
      <c r="I79" s="574"/>
      <c r="J79" s="573"/>
    </row>
    <row r="80" spans="2:10" ht="15.75">
      <c r="B80" s="592"/>
      <c r="C80" s="915" t="s">
        <v>570</v>
      </c>
      <c r="D80" s="916"/>
      <c r="E80" s="626"/>
      <c r="F80" s="561">
        <f>IF(E77/0.95-E77&lt;E80,"Exceeds 5%","")</f>
      </c>
      <c r="G80" s="572" t="str">
        <f>summ!H23</f>
        <v> </v>
      </c>
      <c r="H80" s="596" t="str">
        <f>CONCATENATE("",E1," Fund Mill Rate")</f>
        <v>0 Fund Mill Rate</v>
      </c>
      <c r="I80" s="574"/>
      <c r="J80" s="573"/>
    </row>
    <row r="81" spans="2:10" ht="15.75">
      <c r="B81" s="587" t="str">
        <f>CONCATENATE(C99,"     ",D99)</f>
        <v>     </v>
      </c>
      <c r="C81" s="917" t="s">
        <v>571</v>
      </c>
      <c r="D81" s="918"/>
      <c r="E81" s="631">
        <f>E77+E80</f>
        <v>0</v>
      </c>
      <c r="F81" s="593"/>
      <c r="G81" s="571" t="str">
        <f>summ!E23</f>
        <v>  </v>
      </c>
      <c r="H81" s="596" t="str">
        <f>CONCATENATE("",E1-1," Fund Mill Rate")</f>
        <v>-1 Fund Mill Rate</v>
      </c>
      <c r="I81" s="574"/>
      <c r="J81" s="573"/>
    </row>
    <row r="82" spans="2:10" ht="15.75">
      <c r="B82" s="587" t="str">
        <f>CONCATENATE(C100,"     ",D100)</f>
        <v>     </v>
      </c>
      <c r="C82" s="585"/>
      <c r="D82" s="646" t="s">
        <v>34</v>
      </c>
      <c r="E82" s="584">
        <f>IF(E81-E66&gt;0,E81-E66,0)</f>
        <v>0</v>
      </c>
      <c r="F82" s="593"/>
      <c r="G82" s="569">
        <f>summ!H29</f>
        <v>0</v>
      </c>
      <c r="H82" s="596" t="str">
        <f>CONCATENATE("Total ",E1," Mill Rate")</f>
        <v>Total 0 Mill Rate</v>
      </c>
      <c r="I82" s="574"/>
      <c r="J82" s="573"/>
    </row>
    <row r="83" spans="2:10" ht="15.75">
      <c r="B83" s="646"/>
      <c r="C83" s="415" t="s">
        <v>572</v>
      </c>
      <c r="D83" s="583">
        <f>inputOth!G86</f>
        <v>0</v>
      </c>
      <c r="E83" s="631">
        <f>ROUND(IF(E82&gt;0,(E82*D83),0),0)</f>
        <v>0</v>
      </c>
      <c r="F83" s="593"/>
      <c r="G83" s="571">
        <f>summ!E29</f>
        <v>0</v>
      </c>
      <c r="H83" s="568" t="str">
        <f>CONCATENATE("Total ",E1-1," Mill Rate")</f>
        <v>Total -1 Mill Rate</v>
      </c>
      <c r="I83" s="567"/>
      <c r="J83" s="566"/>
    </row>
    <row r="84" spans="2:10" ht="16.5" thickBot="1">
      <c r="B84" s="649"/>
      <c r="C84" s="932" t="str">
        <f>CONCATENATE("Amount of  ",E1-1," Ad Valorem Tax")</f>
        <v>Amount of  -1 Ad Valorem Tax</v>
      </c>
      <c r="D84" s="933"/>
      <c r="E84" s="578">
        <f>E82+E83</f>
        <v>0</v>
      </c>
      <c r="F84" s="552"/>
      <c r="G84" s="551"/>
      <c r="H84" s="551"/>
      <c r="I84" s="551"/>
      <c r="J84" s="551"/>
    </row>
    <row r="85" spans="2:10" ht="16.5" thickTop="1">
      <c r="B85" s="646"/>
      <c r="C85" s="932"/>
      <c r="D85" s="933"/>
      <c r="E85" s="577"/>
      <c r="F85" s="593"/>
      <c r="G85" s="787" t="s">
        <v>780</v>
      </c>
      <c r="H85" s="788"/>
      <c r="I85" s="797"/>
      <c r="J85" s="789" t="str">
        <f>cert!G35</f>
        <v>No</v>
      </c>
    </row>
    <row r="86" spans="2:10" ht="15.75">
      <c r="B86" s="646"/>
      <c r="C86" s="646"/>
      <c r="D86" s="646"/>
      <c r="E86" s="646"/>
      <c r="G86" s="798" t="str">
        <f>CONCATENATE("Computed ",E1," tax levy limit amount")</f>
        <v>Computed 0 tax levy limit amount</v>
      </c>
      <c r="H86" s="799"/>
      <c r="I86" s="799"/>
      <c r="J86" s="800">
        <f>computation!J41</f>
        <v>0</v>
      </c>
    </row>
    <row r="87" spans="2:10" ht="15.75">
      <c r="B87" s="646" t="s">
        <v>36</v>
      </c>
      <c r="C87" s="750"/>
      <c r="D87" s="646"/>
      <c r="E87" s="646"/>
      <c r="F87" s="593"/>
      <c r="G87" s="801" t="str">
        <f>CONCATENATE("Total ",E1," tax levy amount")</f>
        <v>Total 0 tax levy amount</v>
      </c>
      <c r="H87" s="802"/>
      <c r="I87" s="802"/>
      <c r="J87" s="803">
        <f>summ!G29</f>
        <v>0</v>
      </c>
    </row>
    <row r="92" spans="3:4" ht="15.75">
      <c r="C92" s="550" t="s">
        <v>673</v>
      </c>
      <c r="D92" s="550" t="s">
        <v>673</v>
      </c>
    </row>
    <row r="93" spans="3:4" ht="15.75">
      <c r="C93" s="550" t="s">
        <v>673</v>
      </c>
      <c r="D93" s="550" t="s">
        <v>673</v>
      </c>
    </row>
    <row r="95" spans="3:4" ht="15.75">
      <c r="C95" s="550" t="s">
        <v>673</v>
      </c>
      <c r="D95" s="550" t="s">
        <v>673</v>
      </c>
    </row>
    <row r="96" spans="3:4" ht="15.75">
      <c r="C96" s="550" t="s">
        <v>673</v>
      </c>
      <c r="D96" s="550" t="s">
        <v>673</v>
      </c>
    </row>
    <row r="97" spans="3:4" ht="15.75" hidden="1">
      <c r="C97" s="549">
        <f>IF(C35&gt;C37,"See Tab A","")</f>
      </c>
      <c r="D97" s="549">
        <f>IF(D35&gt;D37,"See Tab C","")</f>
      </c>
    </row>
    <row r="98" spans="3:4" ht="15.75" hidden="1">
      <c r="C98" s="549">
        <f>IF(C36&lt;0,"See Tab B","")</f>
      </c>
      <c r="D98" s="549">
        <f>IF(D36&lt;0,"See Tab D","")</f>
      </c>
    </row>
    <row r="99" spans="3:4" ht="15.75" hidden="1">
      <c r="C99" s="548">
        <f>IF(C77&gt;C79,"See Tab A","")</f>
      </c>
      <c r="D99" s="548">
        <f>IF(D77&gt;D79,"See Tab C","")</f>
      </c>
    </row>
    <row r="100" spans="3:4" ht="15.75" hidden="1">
      <c r="C100" s="548">
        <f>IF(C78&lt;0,"See Tab B","")</f>
      </c>
      <c r="D100" s="548">
        <f>IF(D78&lt;0,"See Tab D","")</f>
      </c>
    </row>
  </sheetData>
  <sheetProtection sheet="1"/>
  <mergeCells count="14">
    <mergeCell ref="G19:J19"/>
    <mergeCell ref="G26:J26"/>
    <mergeCell ref="C38:D38"/>
    <mergeCell ref="C39:D39"/>
    <mergeCell ref="C42:D42"/>
    <mergeCell ref="C43:D43"/>
    <mergeCell ref="G36:J36"/>
    <mergeCell ref="G61:J61"/>
    <mergeCell ref="G68:J68"/>
    <mergeCell ref="C80:D80"/>
    <mergeCell ref="C81:D81"/>
    <mergeCell ref="C84:D84"/>
    <mergeCell ref="C85:D85"/>
    <mergeCell ref="G78:J78"/>
  </mergeCells>
  <conditionalFormatting sqref="C77">
    <cfRule type="cellIs" priority="18" dxfId="0" operator="greaterThan" stopIfTrue="1">
      <formula>$C$79</formula>
    </cfRule>
  </conditionalFormatting>
  <conditionalFormatting sqref="C78:D78 C36:D36">
    <cfRule type="cellIs" priority="17" dxfId="0" operator="lessThan" stopIfTrue="1">
      <formula>0</formula>
    </cfRule>
  </conditionalFormatting>
  <conditionalFormatting sqref="D77">
    <cfRule type="cellIs" priority="16" dxfId="0" operator="greaterThan" stopIfTrue="1">
      <formula>$D$79</formula>
    </cfRule>
  </conditionalFormatting>
  <conditionalFormatting sqref="C35">
    <cfRule type="cellIs" priority="15" dxfId="0" operator="greaterThan" stopIfTrue="1">
      <formula>$C$37</formula>
    </cfRule>
  </conditionalFormatting>
  <conditionalFormatting sqref="D35">
    <cfRule type="cellIs" priority="14" dxfId="0" operator="greaterThan" stopIfTrue="1">
      <formula>$D$37</formula>
    </cfRule>
  </conditionalFormatting>
  <conditionalFormatting sqref="C33">
    <cfRule type="cellIs" priority="13" dxfId="0" operator="greaterThan" stopIfTrue="1">
      <formula>$C$35*0.1</formula>
    </cfRule>
  </conditionalFormatting>
  <conditionalFormatting sqref="D33">
    <cfRule type="cellIs" priority="12" dxfId="0" operator="greaterThan" stopIfTrue="1">
      <formula>$D$35*0.1</formula>
    </cfRule>
  </conditionalFormatting>
  <conditionalFormatting sqref="E33">
    <cfRule type="cellIs" priority="11" dxfId="0" operator="greaterThan" stopIfTrue="1">
      <formula>$E$35*0.1</formula>
    </cfRule>
  </conditionalFormatting>
  <conditionalFormatting sqref="C21 C63:E63">
    <cfRule type="cellIs" priority="10" dxfId="0" operator="greaterThan" stopIfTrue="1">
      <formula>$C$23*0.1</formula>
    </cfRule>
  </conditionalFormatting>
  <conditionalFormatting sqref="D21">
    <cfRule type="cellIs" priority="9" dxfId="0" operator="greaterThan" stopIfTrue="1">
      <formula>$D$23*0.1</formula>
    </cfRule>
  </conditionalFormatting>
  <conditionalFormatting sqref="C75">
    <cfRule type="cellIs" priority="7" dxfId="0" operator="greaterThan" stopIfTrue="1">
      <formula>$C$77*0.1</formula>
    </cfRule>
  </conditionalFormatting>
  <conditionalFormatting sqref="D75">
    <cfRule type="cellIs" priority="6" dxfId="0" operator="greaterThan" stopIfTrue="1">
      <formula>$D$77*0.1</formula>
    </cfRule>
  </conditionalFormatting>
  <conditionalFormatting sqref="E75">
    <cfRule type="cellIs" priority="5" dxfId="0" operator="greaterThan" stopIfTrue="1">
      <formula>$E$77*0.1</formula>
    </cfRule>
  </conditionalFormatting>
  <conditionalFormatting sqref="E80">
    <cfRule type="cellIs" priority="4" dxfId="0" operator="greaterThan" stopIfTrue="1">
      <formula>$E$77/0.95-$E$77</formula>
    </cfRule>
  </conditionalFormatting>
  <conditionalFormatting sqref="E38">
    <cfRule type="cellIs" priority="1" dxfId="0" operator="greaterThan" stopIfTrue="1">
      <formula>$E$77/0.95-$E$77</formula>
    </cfRule>
  </conditionalFormatting>
  <conditionalFormatting sqref="E21">
    <cfRule type="cellIs" priority="91" dxfId="0" operator="greaterThan" stopIfTrue="1">
      <formula>$E$23*0.1+$E$42</formula>
    </cfRule>
  </conditionalFormatting>
  <printOptions/>
  <pageMargins left="0.75" right="0.75" top="1" bottom="1" header="0.5" footer="0.5"/>
  <pageSetup blackAndWhite="1" fitToHeight="1" fitToWidth="1" horizontalDpi="600" verticalDpi="600" orientation="portrait" scale="49"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Q140" sqref="Q140"/>
    </sheetView>
  </sheetViews>
  <sheetFormatPr defaultColWidth="8.796875" defaultRowHeight="15"/>
  <cols>
    <col min="1" max="1" width="2.3984375" style="5" customWidth="1"/>
    <col min="2" max="2" width="31.09765625" style="5" customWidth="1"/>
    <col min="3" max="5" width="15.796875" style="5" customWidth="1"/>
    <col min="6" max="6" width="7.3984375" style="5" customWidth="1"/>
    <col min="7" max="7" width="10.19921875" style="5" customWidth="1"/>
    <col min="8" max="8" width="8.8984375" style="5" customWidth="1"/>
    <col min="9" max="9" width="6" style="5" customWidth="1"/>
    <col min="10" max="10" width="10" style="5" customWidth="1"/>
    <col min="11" max="16384" width="8.8984375" style="5" customWidth="1"/>
  </cols>
  <sheetData>
    <row r="1" spans="2:5" ht="15.75">
      <c r="B1" s="19">
        <f>inputPrYr!D3</f>
        <v>0</v>
      </c>
      <c r="C1" s="19"/>
      <c r="D1" s="19"/>
      <c r="E1" s="173">
        <f>inputPrYr!D22</f>
        <v>0</v>
      </c>
    </row>
    <row r="2" spans="2:5" ht="15.75">
      <c r="B2" s="19">
        <f>inputPrYr!D4</f>
        <v>0</v>
      </c>
      <c r="C2" s="19"/>
      <c r="D2" s="19"/>
      <c r="E2" s="152"/>
    </row>
    <row r="3" spans="2:6" ht="15.75">
      <c r="B3" s="24" t="s">
        <v>70</v>
      </c>
      <c r="C3" s="207"/>
      <c r="D3" s="207"/>
      <c r="E3" s="208"/>
      <c r="F3" s="503"/>
    </row>
    <row r="4" spans="2:5" ht="15.75">
      <c r="B4" s="18" t="s">
        <v>24</v>
      </c>
      <c r="C4" s="318" t="s">
        <v>185</v>
      </c>
      <c r="D4" s="322" t="s">
        <v>186</v>
      </c>
      <c r="E4" s="209" t="s">
        <v>187</v>
      </c>
    </row>
    <row r="5" spans="2:5" ht="15.75">
      <c r="B5" s="412">
        <f>inputPrYr!B39</f>
        <v>0</v>
      </c>
      <c r="C5" s="319" t="str">
        <f>CONCATENATE("Actual for ",E1-2,"")</f>
        <v>Actual for -2</v>
      </c>
      <c r="D5" s="319" t="str">
        <f>CONCATENATE("Estimate for ",E1-1,"")</f>
        <v>Estimate for -1</v>
      </c>
      <c r="E5" s="161" t="str">
        <f>CONCATENATE("Year for ",E1,"")</f>
        <v>Year for 0</v>
      </c>
    </row>
    <row r="6" spans="2:5" ht="15.75">
      <c r="B6" s="119" t="s">
        <v>104</v>
      </c>
      <c r="C6" s="66"/>
      <c r="D6" s="323">
        <f>C36</f>
        <v>0</v>
      </c>
      <c r="E6" s="122">
        <f>D36</f>
        <v>0</v>
      </c>
    </row>
    <row r="7" spans="2:5" ht="15.75">
      <c r="B7" s="138" t="s">
        <v>106</v>
      </c>
      <c r="C7" s="210"/>
      <c r="D7" s="210"/>
      <c r="E7" s="126"/>
    </row>
    <row r="8" spans="2:5" ht="15.75">
      <c r="B8" s="119" t="s">
        <v>25</v>
      </c>
      <c r="C8" s="66"/>
      <c r="D8" s="323">
        <f>IF(inputPrYr!H34&gt;0,inputPrYr!G39,inputPrYr!E39)</f>
        <v>0</v>
      </c>
      <c r="E8" s="131" t="s">
        <v>20</v>
      </c>
    </row>
    <row r="9" spans="2:5" ht="15.75">
      <c r="B9" s="119" t="s">
        <v>26</v>
      </c>
      <c r="C9" s="66"/>
      <c r="D9" s="66"/>
      <c r="E9" s="187"/>
    </row>
    <row r="10" spans="2:5" ht="15.75">
      <c r="B10" s="119" t="s">
        <v>27</v>
      </c>
      <c r="C10" s="66"/>
      <c r="D10" s="66"/>
      <c r="E10" s="122">
        <f>mvalloc!D14</f>
        <v>0</v>
      </c>
    </row>
    <row r="11" spans="2:5" ht="15.75">
      <c r="B11" s="119" t="s">
        <v>28</v>
      </c>
      <c r="C11" s="66"/>
      <c r="D11" s="66"/>
      <c r="E11" s="122">
        <f>mvalloc!E14</f>
        <v>0</v>
      </c>
    </row>
    <row r="12" spans="2:5" ht="15.75">
      <c r="B12" s="210" t="s">
        <v>97</v>
      </c>
      <c r="C12" s="66"/>
      <c r="D12" s="66"/>
      <c r="E12" s="122">
        <f>mvalloc!F14</f>
        <v>0</v>
      </c>
    </row>
    <row r="13" spans="2:5" ht="15.75">
      <c r="B13" s="782" t="s">
        <v>772</v>
      </c>
      <c r="C13" s="66"/>
      <c r="D13" s="66"/>
      <c r="E13" s="122">
        <f>mvalloc!G14</f>
        <v>0</v>
      </c>
    </row>
    <row r="14" spans="2:5" ht="15.75">
      <c r="B14" s="782" t="s">
        <v>773</v>
      </c>
      <c r="C14" s="66"/>
      <c r="D14" s="66"/>
      <c r="E14" s="122">
        <f>mvalloc!H14</f>
        <v>0</v>
      </c>
    </row>
    <row r="15" spans="2:5" ht="15.75">
      <c r="B15" s="212"/>
      <c r="C15" s="66"/>
      <c r="D15" s="66"/>
      <c r="E15" s="187"/>
    </row>
    <row r="16" spans="2:5" ht="15.75">
      <c r="B16" s="212"/>
      <c r="C16" s="66"/>
      <c r="D16" s="66"/>
      <c r="E16" s="187"/>
    </row>
    <row r="17" spans="2:5" ht="15.75">
      <c r="B17" s="212"/>
      <c r="C17" s="66"/>
      <c r="D17" s="66"/>
      <c r="E17" s="187"/>
    </row>
    <row r="18" spans="2:11" ht="15.75">
      <c r="B18" s="212"/>
      <c r="C18" s="66"/>
      <c r="D18" s="66"/>
      <c r="E18" s="187"/>
      <c r="G18" s="921" t="str">
        <f>CONCATENATE("Desired Carryover Into ",E1+1,"")</f>
        <v>Desired Carryover Into 1</v>
      </c>
      <c r="H18" s="922"/>
      <c r="I18" s="922"/>
      <c r="J18" s="923"/>
      <c r="K18" s="17"/>
    </row>
    <row r="19" spans="2:11" ht="15.75">
      <c r="B19" s="213" t="s">
        <v>29</v>
      </c>
      <c r="C19" s="66"/>
      <c r="D19" s="66"/>
      <c r="E19" s="187"/>
      <c r="G19" s="456"/>
      <c r="H19" s="444"/>
      <c r="I19" s="453"/>
      <c r="J19" s="457"/>
      <c r="K19" s="17"/>
    </row>
    <row r="20" spans="2:11" ht="15.75">
      <c r="B20" s="123" t="s">
        <v>169</v>
      </c>
      <c r="C20" s="66"/>
      <c r="D20" s="66"/>
      <c r="E20" s="142">
        <f>Nhood!E10*-1</f>
        <v>0</v>
      </c>
      <c r="G20" s="458" t="s">
        <v>576</v>
      </c>
      <c r="H20" s="453"/>
      <c r="I20" s="453"/>
      <c r="J20" s="459">
        <v>0</v>
      </c>
      <c r="K20" s="17"/>
    </row>
    <row r="21" spans="2:11" ht="15.75">
      <c r="B21" s="214" t="s">
        <v>170</v>
      </c>
      <c r="C21" s="212"/>
      <c r="D21" s="212"/>
      <c r="E21" s="187"/>
      <c r="G21" s="456" t="s">
        <v>577</v>
      </c>
      <c r="H21" s="444"/>
      <c r="I21" s="444"/>
      <c r="J21" s="513">
        <f>IF(J20=0,"",ROUND((J20+E41-G33)/inputOth!C26*1000,3)-G38)</f>
      </c>
      <c r="K21" s="17"/>
    </row>
    <row r="22" spans="2:11" ht="15.75">
      <c r="B22" s="214" t="s">
        <v>568</v>
      </c>
      <c r="C22" s="320">
        <f>IF(C23*0.1&lt;C21,"Exceed 10% Rule","")</f>
      </c>
      <c r="D22" s="320">
        <f>IF(D23*0.1&lt;D21,"Exceed 10% Rule","")</f>
      </c>
      <c r="E22" s="414">
        <f>IF(E23*0.1+E42&lt;E21,"Exceed 10% Rule","")</f>
      </c>
      <c r="G22" s="532" t="str">
        <f>CONCATENATE("",E1," Tot Exp/Non-Appr Must Be:")</f>
        <v>0 Tot Exp/Non-Appr Must Be:</v>
      </c>
      <c r="H22" s="493"/>
      <c r="I22" s="492"/>
      <c r="J22" s="531">
        <f>IF(J20&gt;0,IF(E39&lt;E24,IF(J20=G33,E40,((J20-G33)*(1-D41))+E24),E39+(J20-G33)),0)</f>
        <v>0</v>
      </c>
      <c r="K22" s="17"/>
    </row>
    <row r="23" spans="2:11" ht="15.75">
      <c r="B23" s="217" t="s">
        <v>30</v>
      </c>
      <c r="C23" s="324">
        <f>SUM(C8:C21)</f>
        <v>0</v>
      </c>
      <c r="D23" s="324">
        <f>SUM(D8:D21)</f>
        <v>0</v>
      </c>
      <c r="E23" s="224">
        <f>SUM(E8:E21)</f>
        <v>0</v>
      </c>
      <c r="G23" s="534" t="s">
        <v>597</v>
      </c>
      <c r="H23" s="530"/>
      <c r="I23" s="530"/>
      <c r="J23" s="529">
        <f>IF(J20&gt;0,J22-E39,0)</f>
        <v>0</v>
      </c>
      <c r="K23" s="17"/>
    </row>
    <row r="24" spans="2:11" ht="15.75">
      <c r="B24" s="217" t="s">
        <v>31</v>
      </c>
      <c r="C24" s="321">
        <f>C6+C23</f>
        <v>0</v>
      </c>
      <c r="D24" s="321">
        <f>D6+D23</f>
        <v>0</v>
      </c>
      <c r="E24" s="218">
        <f>E6+E23</f>
        <v>0</v>
      </c>
      <c r="G24" s="17"/>
      <c r="H24" s="17"/>
      <c r="I24" s="17"/>
      <c r="J24" s="535"/>
      <c r="K24" s="17"/>
    </row>
    <row r="25" spans="2:11" ht="15.75">
      <c r="B25" s="119" t="s">
        <v>32</v>
      </c>
      <c r="C25" s="123"/>
      <c r="D25" s="123"/>
      <c r="E25" s="44"/>
      <c r="G25" s="921" t="str">
        <f>CONCATENATE("Projected Carryover Into ",E1+1,"")</f>
        <v>Projected Carryover Into 1</v>
      </c>
      <c r="H25" s="869"/>
      <c r="I25" s="869"/>
      <c r="J25" s="939"/>
      <c r="K25" s="17"/>
    </row>
    <row r="26" spans="2:11" ht="15.75">
      <c r="B26" s="212"/>
      <c r="C26" s="66"/>
      <c r="D26" s="66"/>
      <c r="E26" s="32"/>
      <c r="F26" s="17"/>
      <c r="G26" s="456"/>
      <c r="H26" s="453"/>
      <c r="I26" s="453"/>
      <c r="J26" s="512"/>
      <c r="K26" s="17"/>
    </row>
    <row r="27" spans="2:11" ht="15.75">
      <c r="B27" s="212"/>
      <c r="C27" s="66"/>
      <c r="D27" s="66"/>
      <c r="E27" s="32"/>
      <c r="F27" s="17"/>
      <c r="G27" s="446">
        <f>D36</f>
        <v>0</v>
      </c>
      <c r="H27" s="452" t="str">
        <f>CONCATENATE("",E1-1," Ending Cash Balance (est.)")</f>
        <v>-1 Ending Cash Balance (est.)</v>
      </c>
      <c r="I27" s="528"/>
      <c r="J27" s="512"/>
      <c r="K27" s="17"/>
    </row>
    <row r="28" spans="2:11" ht="15.75">
      <c r="B28" s="212"/>
      <c r="C28" s="66"/>
      <c r="D28" s="66"/>
      <c r="E28" s="32"/>
      <c r="F28" s="17"/>
      <c r="G28" s="446">
        <f>E23</f>
        <v>0</v>
      </c>
      <c r="H28" s="453" t="str">
        <f>CONCATENATE("",E1," Non-AV Receipts (est.)")</f>
        <v>0 Non-AV Receipts (est.)</v>
      </c>
      <c r="I28" s="528"/>
      <c r="J28" s="512"/>
      <c r="K28" s="17"/>
    </row>
    <row r="29" spans="2:11" ht="15.75">
      <c r="B29" s="212"/>
      <c r="C29" s="66"/>
      <c r="D29" s="66"/>
      <c r="E29" s="32"/>
      <c r="F29" s="17"/>
      <c r="G29" s="448">
        <f>IF(E41&gt;0,E40,E42)</f>
        <v>0</v>
      </c>
      <c r="H29" s="453" t="str">
        <f>CONCATENATE("",E1," Ad Valorem Tax (est.)")</f>
        <v>0 Ad Valorem Tax (est.)</v>
      </c>
      <c r="I29" s="528"/>
      <c r="J29" s="510"/>
      <c r="K29" s="509">
        <f>IF(G29=E42,"","Note: Does not include Delinquent Taxes")</f>
      </c>
    </row>
    <row r="30" spans="2:11" ht="15.75">
      <c r="B30" s="212"/>
      <c r="C30" s="66"/>
      <c r="D30" s="66"/>
      <c r="E30" s="32"/>
      <c r="F30" s="17"/>
      <c r="G30" s="446">
        <f>SUM(G27:G29)</f>
        <v>0</v>
      </c>
      <c r="H30" s="453" t="str">
        <f>CONCATENATE("Total ",E1," Resources Available")</f>
        <v>Total 0 Resources Available</v>
      </c>
      <c r="I30" s="528"/>
      <c r="J30" s="512"/>
      <c r="K30" s="17"/>
    </row>
    <row r="31" spans="2:11" ht="15.75">
      <c r="B31" s="212"/>
      <c r="C31" s="66"/>
      <c r="D31" s="66"/>
      <c r="E31" s="32"/>
      <c r="F31" s="17"/>
      <c r="G31" s="449"/>
      <c r="H31" s="453"/>
      <c r="I31" s="453"/>
      <c r="J31" s="512"/>
      <c r="K31" s="17"/>
    </row>
    <row r="32" spans="2:11" ht="15.75">
      <c r="B32" s="123" t="str">
        <f>CONCATENATE("Cash Forward (",E1," column)")</f>
        <v>Cash Forward (0 column)</v>
      </c>
      <c r="C32" s="66"/>
      <c r="D32" s="66"/>
      <c r="E32" s="32"/>
      <c r="F32" s="17"/>
      <c r="G32" s="448">
        <f>ROUND(C35*0.05+C35,0)</f>
        <v>0</v>
      </c>
      <c r="H32" s="453" t="str">
        <f>CONCATENATE("Less ",E1-2," Expenditures + 5%")</f>
        <v>Less -2 Expenditures + 5%</v>
      </c>
      <c r="I32" s="528"/>
      <c r="J32" s="512"/>
      <c r="K32" s="17"/>
    </row>
    <row r="33" spans="2:11" ht="15.75">
      <c r="B33" s="123" t="s">
        <v>170</v>
      </c>
      <c r="C33" s="66"/>
      <c r="D33" s="66"/>
      <c r="E33" s="32"/>
      <c r="F33" s="17"/>
      <c r="G33" s="450">
        <f>G30-G32</f>
        <v>0</v>
      </c>
      <c r="H33" s="454" t="str">
        <f>CONCATENATE("Projected ",E1+1," carryover (est.)")</f>
        <v>Projected 1 carryover (est.)</v>
      </c>
      <c r="I33" s="523"/>
      <c r="J33" s="508"/>
      <c r="K33" s="17"/>
    </row>
    <row r="34" spans="2:11" ht="15.75">
      <c r="B34" s="123" t="s">
        <v>567</v>
      </c>
      <c r="C34" s="320">
        <f>IF(C35*0.1&lt;C33,"Exceed 10% Rule","")</f>
      </c>
      <c r="D34" s="320">
        <f>IF(D35*0.1&lt;D33,"Exceed 10% Rule","")</f>
      </c>
      <c r="E34" s="414">
        <f>IF(E35*0.1&lt;E33,"Exceed 10% Rule","")</f>
      </c>
      <c r="F34" s="17"/>
      <c r="G34" s="535"/>
      <c r="H34" s="535"/>
      <c r="I34" s="535"/>
      <c r="J34" s="535"/>
      <c r="K34" s="17"/>
    </row>
    <row r="35" spans="2:11" ht="15.75">
      <c r="B35" s="217" t="s">
        <v>33</v>
      </c>
      <c r="C35" s="321">
        <f>SUM(C26:C33)</f>
        <v>0</v>
      </c>
      <c r="D35" s="321">
        <f>SUM(D26:D33)</f>
        <v>0</v>
      </c>
      <c r="E35" s="218">
        <f>SUM(E26:E33)</f>
        <v>0</v>
      </c>
      <c r="F35" s="17"/>
      <c r="G35" s="924" t="s">
        <v>598</v>
      </c>
      <c r="H35" s="925"/>
      <c r="I35" s="925"/>
      <c r="J35" s="926"/>
      <c r="K35" s="17"/>
    </row>
    <row r="36" spans="2:11" ht="15.75">
      <c r="B36" s="119" t="s">
        <v>105</v>
      </c>
      <c r="C36" s="317">
        <f>C24-C35</f>
        <v>0</v>
      </c>
      <c r="D36" s="317">
        <f>D24-D35</f>
        <v>0</v>
      </c>
      <c r="E36" s="131" t="s">
        <v>20</v>
      </c>
      <c r="F36" s="17"/>
      <c r="G36" s="522"/>
      <c r="H36" s="452"/>
      <c r="I36" s="494"/>
      <c r="J36" s="521"/>
      <c r="K36" s="17"/>
    </row>
    <row r="37" spans="2:11" ht="15.75">
      <c r="B37" s="18" t="str">
        <f>CONCATENATE("",E1-2,"/",E1-1,"/",E1," Budget Authority Amount:")</f>
        <v>-2/-1/0 Budget Authority Amount:</v>
      </c>
      <c r="C37" s="220">
        <f>inputOth!C95</f>
        <v>0</v>
      </c>
      <c r="D37" s="220">
        <f>inputPrYr!D39</f>
        <v>0</v>
      </c>
      <c r="E37" s="122">
        <f>E35</f>
        <v>0</v>
      </c>
      <c r="F37" s="511"/>
      <c r="G37" s="520" t="str">
        <f>summ!H24</f>
        <v> </v>
      </c>
      <c r="H37" s="452" t="str">
        <f>CONCATENATE("",E1," Fund Mill Rate")</f>
        <v>0 Fund Mill Rate</v>
      </c>
      <c r="I37" s="494"/>
      <c r="J37" s="521"/>
      <c r="K37" s="17"/>
    </row>
    <row r="38" spans="2:11" ht="15.75">
      <c r="B38" s="152"/>
      <c r="C38" s="915" t="s">
        <v>570</v>
      </c>
      <c r="D38" s="916"/>
      <c r="E38" s="32"/>
      <c r="F38" s="511">
        <f>IF(E35/0.95-E35&lt;E38,"Exceeds 5%","")</f>
      </c>
      <c r="G38" s="518" t="str">
        <f>summ!E24</f>
        <v>  </v>
      </c>
      <c r="H38" s="452" t="str">
        <f>CONCATENATE("",E1-1," Fund Mill Rate")</f>
        <v>-1 Fund Mill Rate</v>
      </c>
      <c r="I38" s="494"/>
      <c r="J38" s="521"/>
      <c r="K38" s="17"/>
    </row>
    <row r="39" spans="2:11" ht="15.75">
      <c r="B39" s="411" t="str">
        <f>CONCATENATE(C92,"     ",D92)</f>
        <v>     </v>
      </c>
      <c r="C39" s="917" t="s">
        <v>571</v>
      </c>
      <c r="D39" s="918"/>
      <c r="E39" s="122">
        <f>E35+E38</f>
        <v>0</v>
      </c>
      <c r="F39" s="17"/>
      <c r="G39" s="517">
        <f>summ!H29</f>
        <v>0</v>
      </c>
      <c r="H39" s="452" t="str">
        <f>CONCATENATE("Total ",E1," Mill Rate")</f>
        <v>Total 0 Mill Rate</v>
      </c>
      <c r="I39" s="494"/>
      <c r="J39" s="521"/>
      <c r="K39" s="17"/>
    </row>
    <row r="40" spans="2:11" ht="15.75">
      <c r="B40" s="411" t="str">
        <f>CONCATENATE(C93,"     ",D93)</f>
        <v>     </v>
      </c>
      <c r="C40" s="416"/>
      <c r="D40" s="417" t="s">
        <v>34</v>
      </c>
      <c r="E40" s="142">
        <f>IF(E39-E24&gt;0,E39-E24,0)</f>
        <v>0</v>
      </c>
      <c r="F40" s="17"/>
      <c r="G40" s="518">
        <f>summ!E29</f>
        <v>0</v>
      </c>
      <c r="H40" s="516" t="str">
        <f>CONCATENATE("Total ",E1-1," Mill Rate")</f>
        <v>Total -1 Mill Rate</v>
      </c>
      <c r="I40" s="515"/>
      <c r="J40" s="514"/>
      <c r="K40" s="17"/>
    </row>
    <row r="41" spans="2:6" ht="15.75">
      <c r="B41" s="151"/>
      <c r="C41" s="415" t="s">
        <v>572</v>
      </c>
      <c r="D41" s="491">
        <f>inputOth!$G$86</f>
        <v>0</v>
      </c>
      <c r="E41" s="122">
        <f>ROUND(IF(D41&gt;0,(E40*D41),0),0)</f>
        <v>0</v>
      </c>
      <c r="F41" s="17"/>
    </row>
    <row r="42" spans="2:10" ht="15.75">
      <c r="B42" s="19"/>
      <c r="C42" s="919" t="str">
        <f>CONCATENATE("Amount of  ",$E$1-1," Ad Valorem Tax")</f>
        <v>Amount of  -1 Ad Valorem Tax</v>
      </c>
      <c r="D42" s="920"/>
      <c r="E42" s="142">
        <f>E40+E41</f>
        <v>0</v>
      </c>
      <c r="F42" s="17"/>
      <c r="G42" s="787" t="s">
        <v>780</v>
      </c>
      <c r="H42" s="788"/>
      <c r="I42" s="790"/>
      <c r="J42" s="789" t="str">
        <f>cert!G35</f>
        <v>No</v>
      </c>
    </row>
    <row r="43" spans="2:10" ht="15.75">
      <c r="B43" s="19"/>
      <c r="C43" s="19"/>
      <c r="D43" s="19"/>
      <c r="E43" s="19"/>
      <c r="F43" s="17"/>
      <c r="G43" s="791" t="str">
        <f>CONCATENATE("Computed ",E1," tax levy limit amount")</f>
        <v>Computed 0 tax levy limit amount</v>
      </c>
      <c r="H43" s="792"/>
      <c r="I43" s="792"/>
      <c r="J43" s="793">
        <f>computation!J41</f>
        <v>0</v>
      </c>
    </row>
    <row r="44" spans="2:10" ht="15.75">
      <c r="B44" s="18" t="s">
        <v>24</v>
      </c>
      <c r="C44" s="104"/>
      <c r="D44" s="104"/>
      <c r="E44" s="104"/>
      <c r="F44" s="17"/>
      <c r="G44" s="794" t="str">
        <f>CONCATENATE("Total ",E1," tax levy amount")</f>
        <v>Total 0 tax levy amount</v>
      </c>
      <c r="H44" s="795"/>
      <c r="I44" s="795"/>
      <c r="J44" s="796">
        <f>summ!G29</f>
        <v>0</v>
      </c>
    </row>
    <row r="45" spans="2:6" ht="15.75">
      <c r="B45" s="19"/>
      <c r="C45" s="318" t="s">
        <v>185</v>
      </c>
      <c r="D45" s="322" t="s">
        <v>186</v>
      </c>
      <c r="E45" s="209" t="s">
        <v>187</v>
      </c>
      <c r="F45" s="17"/>
    </row>
    <row r="46" spans="2:6" ht="15.75">
      <c r="B46" s="413">
        <f>inputPrYr!B40</f>
        <v>0</v>
      </c>
      <c r="C46" s="319" t="str">
        <f>C5</f>
        <v>Actual for -2</v>
      </c>
      <c r="D46" s="319" t="str">
        <f>D5</f>
        <v>Estimate for -1</v>
      </c>
      <c r="E46" s="161" t="str">
        <f>E5</f>
        <v>Year for 0</v>
      </c>
      <c r="F46" s="17"/>
    </row>
    <row r="47" spans="2:6" ht="15.75">
      <c r="B47" s="119" t="s">
        <v>104</v>
      </c>
      <c r="C47" s="66"/>
      <c r="D47" s="323">
        <f>C78</f>
        <v>0</v>
      </c>
      <c r="E47" s="122">
        <f>D78</f>
        <v>0</v>
      </c>
      <c r="F47" s="17"/>
    </row>
    <row r="48" spans="2:6" ht="15.75">
      <c r="B48" s="119" t="s">
        <v>106</v>
      </c>
      <c r="C48" s="210"/>
      <c r="D48" s="210"/>
      <c r="E48" s="126"/>
      <c r="F48" s="17"/>
    </row>
    <row r="49" spans="2:6" ht="15.75">
      <c r="B49" s="119" t="s">
        <v>25</v>
      </c>
      <c r="C49" s="66"/>
      <c r="D49" s="323">
        <f>IF(inputPrYr!H34&gt;0,inputPrYr!G40,inputPrYr!E40)</f>
        <v>0</v>
      </c>
      <c r="E49" s="131" t="s">
        <v>20</v>
      </c>
      <c r="F49" s="14"/>
    </row>
    <row r="50" spans="2:6" ht="15.75">
      <c r="B50" s="119" t="s">
        <v>26</v>
      </c>
      <c r="C50" s="66"/>
      <c r="D50" s="66"/>
      <c r="E50" s="187"/>
      <c r="F50" s="14"/>
    </row>
    <row r="51" spans="2:6" ht="15.75">
      <c r="B51" s="119" t="s">
        <v>27</v>
      </c>
      <c r="C51" s="66"/>
      <c r="D51" s="66"/>
      <c r="E51" s="211">
        <f>mvalloc!D15</f>
        <v>0</v>
      </c>
      <c r="F51" s="14"/>
    </row>
    <row r="52" spans="2:10" ht="15.75">
      <c r="B52" s="119" t="s">
        <v>28</v>
      </c>
      <c r="C52" s="66"/>
      <c r="D52" s="66"/>
      <c r="E52" s="211">
        <f>mvalloc!E15</f>
        <v>0</v>
      </c>
      <c r="F52" s="14"/>
      <c r="G52" s="500"/>
      <c r="H52" s="502"/>
      <c r="I52" s="502"/>
      <c r="J52" s="501"/>
    </row>
    <row r="53" spans="2:10" ht="15.75">
      <c r="B53" s="210" t="s">
        <v>97</v>
      </c>
      <c r="C53" s="66"/>
      <c r="D53" s="66"/>
      <c r="E53" s="211">
        <f>mvalloc!F15</f>
        <v>0</v>
      </c>
      <c r="F53" s="14"/>
      <c r="G53" s="455"/>
      <c r="H53" s="455"/>
      <c r="I53" s="455"/>
      <c r="J53" s="455"/>
    </row>
    <row r="54" spans="2:10" ht="15.75">
      <c r="B54" s="782" t="s">
        <v>772</v>
      </c>
      <c r="C54" s="66"/>
      <c r="D54" s="66"/>
      <c r="E54" s="211">
        <f>mvalloc!G15</f>
        <v>0</v>
      </c>
      <c r="F54" s="14"/>
      <c r="G54" s="495"/>
      <c r="H54" s="496"/>
      <c r="I54" s="497"/>
      <c r="J54" s="455"/>
    </row>
    <row r="55" spans="2:10" ht="15.75">
      <c r="B55" s="782" t="s">
        <v>773</v>
      </c>
      <c r="C55" s="66"/>
      <c r="D55" s="66"/>
      <c r="E55" s="211">
        <f>mvalloc!H15</f>
        <v>0</v>
      </c>
      <c r="F55" s="14"/>
      <c r="G55" s="495"/>
      <c r="H55" s="497"/>
      <c r="I55" s="497"/>
      <c r="J55" s="455"/>
    </row>
    <row r="56" spans="2:10" ht="15.75">
      <c r="B56" s="212"/>
      <c r="C56" s="66"/>
      <c r="D56" s="66"/>
      <c r="E56" s="187"/>
      <c r="F56" s="14"/>
      <c r="G56" s="495"/>
      <c r="H56" s="497"/>
      <c r="I56" s="497"/>
      <c r="J56" s="455"/>
    </row>
    <row r="57" spans="2:10" ht="15.75">
      <c r="B57" s="212"/>
      <c r="C57" s="66"/>
      <c r="D57" s="66"/>
      <c r="E57" s="187"/>
      <c r="F57" s="14"/>
      <c r="G57" s="495"/>
      <c r="H57" s="497"/>
      <c r="I57" s="497"/>
      <c r="J57" s="455"/>
    </row>
    <row r="58" spans="2:10" ht="15.75">
      <c r="B58" s="212"/>
      <c r="C58" s="66"/>
      <c r="D58" s="66"/>
      <c r="E58" s="187"/>
      <c r="F58" s="14"/>
      <c r="G58" s="498"/>
      <c r="H58" s="497"/>
      <c r="I58" s="497"/>
      <c r="J58" s="455"/>
    </row>
    <row r="59" spans="2:10" ht="15.75">
      <c r="B59" s="212"/>
      <c r="C59" s="66"/>
      <c r="D59" s="66"/>
      <c r="E59" s="187"/>
      <c r="F59" s="14"/>
      <c r="G59" s="495"/>
      <c r="H59" s="497"/>
      <c r="I59" s="497"/>
      <c r="J59" s="455"/>
    </row>
    <row r="60" spans="2:11" ht="15.75">
      <c r="B60" s="212"/>
      <c r="C60" s="66"/>
      <c r="D60" s="66"/>
      <c r="E60" s="187"/>
      <c r="F60" s="14"/>
      <c r="G60" s="921" t="str">
        <f>CONCATENATE("Desired Carryover Into ",E1+1,"")</f>
        <v>Desired Carryover Into 1</v>
      </c>
      <c r="H60" s="922"/>
      <c r="I60" s="922"/>
      <c r="J60" s="923"/>
      <c r="K60" s="17"/>
    </row>
    <row r="61" spans="2:11" ht="15.75">
      <c r="B61" s="213" t="s">
        <v>29</v>
      </c>
      <c r="C61" s="66"/>
      <c r="D61" s="212"/>
      <c r="E61" s="187"/>
      <c r="F61" s="14"/>
      <c r="G61" s="456"/>
      <c r="H61" s="444"/>
      <c r="I61" s="453"/>
      <c r="J61" s="457"/>
      <c r="K61" s="17"/>
    </row>
    <row r="62" spans="2:11" ht="15.75">
      <c r="B62" s="123" t="s">
        <v>169</v>
      </c>
      <c r="C62" s="66"/>
      <c r="D62" s="212"/>
      <c r="E62" s="142">
        <f>Nhood!E11*-1</f>
        <v>0</v>
      </c>
      <c r="F62" s="14"/>
      <c r="G62" s="458" t="s">
        <v>576</v>
      </c>
      <c r="H62" s="453"/>
      <c r="I62" s="453"/>
      <c r="J62" s="459">
        <v>0</v>
      </c>
      <c r="K62" s="17"/>
    </row>
    <row r="63" spans="2:11" ht="15.75">
      <c r="B63" s="214" t="s">
        <v>170</v>
      </c>
      <c r="C63" s="212"/>
      <c r="D63" s="212"/>
      <c r="E63" s="187"/>
      <c r="F63" s="14"/>
      <c r="G63" s="456" t="s">
        <v>577</v>
      </c>
      <c r="H63" s="444"/>
      <c r="I63" s="444"/>
      <c r="J63" s="513">
        <f>IF(J62=0,"",ROUND((J62+E80-G75)/inputOth!C26*1000,3)-G80)</f>
      </c>
      <c r="K63" s="17"/>
    </row>
    <row r="64" spans="2:11" ht="15.75">
      <c r="B64" s="214" t="s">
        <v>568</v>
      </c>
      <c r="C64" s="320">
        <f>IF(C65*0.1&lt;C63,"Exceed 10% Rule","")</f>
      </c>
      <c r="D64" s="320">
        <f>IF(D65*0.1&lt;D63,"Exceed 10% Rule","")</f>
      </c>
      <c r="E64" s="414">
        <f>IF(E65*0.1+E84&lt;E63,"Exceed 10% Rule","")</f>
      </c>
      <c r="F64" s="14"/>
      <c r="G64" s="532" t="str">
        <f>CONCATENATE("",E1," Tot Exp/Non-Appr Must Be:")</f>
        <v>0 Tot Exp/Non-Appr Must Be:</v>
      </c>
      <c r="H64" s="493"/>
      <c r="I64" s="492"/>
      <c r="J64" s="531">
        <f>IF(J62&gt;0,IF(E81&lt;E66,IF(J62=G75,E80,((J62-G75)*(1-D83))+E53),E81+(J62-G75)),0)</f>
        <v>0</v>
      </c>
      <c r="K64" s="17"/>
    </row>
    <row r="65" spans="2:11" ht="15.75">
      <c r="B65" s="217" t="s">
        <v>30</v>
      </c>
      <c r="C65" s="321">
        <f>SUM(C49:C63)</f>
        <v>0</v>
      </c>
      <c r="D65" s="321">
        <f>SUM(D49:D63)</f>
        <v>0</v>
      </c>
      <c r="E65" s="218">
        <f>SUM(E49:E63)</f>
        <v>0</v>
      </c>
      <c r="F65" s="14"/>
      <c r="G65" s="534" t="s">
        <v>597</v>
      </c>
      <c r="H65" s="530"/>
      <c r="I65" s="530"/>
      <c r="J65" s="529">
        <f>IF(J62&gt;0,J64-E81,0)</f>
        <v>0</v>
      </c>
      <c r="K65" s="17"/>
    </row>
    <row r="66" spans="2:11" ht="15.75">
      <c r="B66" s="217" t="s">
        <v>31</v>
      </c>
      <c r="C66" s="321">
        <f>C47+C65</f>
        <v>0</v>
      </c>
      <c r="D66" s="321">
        <f>D47+D65</f>
        <v>0</v>
      </c>
      <c r="E66" s="218">
        <f>E47+E65</f>
        <v>0</v>
      </c>
      <c r="F66" s="14"/>
      <c r="G66" s="17"/>
      <c r="H66" s="17"/>
      <c r="I66" s="17"/>
      <c r="J66" s="535"/>
      <c r="K66" s="17"/>
    </row>
    <row r="67" spans="2:11" ht="15.75">
      <c r="B67" s="119" t="s">
        <v>32</v>
      </c>
      <c r="C67" s="123"/>
      <c r="D67" s="123"/>
      <c r="E67" s="44"/>
      <c r="F67" s="14"/>
      <c r="G67" s="921" t="str">
        <f>CONCATENATE("Projected Carryover Into ",E1+1,"")</f>
        <v>Projected Carryover Into 1</v>
      </c>
      <c r="H67" s="940"/>
      <c r="I67" s="940"/>
      <c r="J67" s="939"/>
      <c r="K67" s="17"/>
    </row>
    <row r="68" spans="2:11" ht="15.75">
      <c r="B68" s="212"/>
      <c r="C68" s="66"/>
      <c r="D68" s="66"/>
      <c r="E68" s="32"/>
      <c r="F68" s="17"/>
      <c r="G68" s="443"/>
      <c r="H68" s="444"/>
      <c r="I68" s="444"/>
      <c r="J68" s="445"/>
      <c r="K68" s="17"/>
    </row>
    <row r="69" spans="2:11" ht="15.75">
      <c r="B69" s="212"/>
      <c r="C69" s="66"/>
      <c r="D69" s="66"/>
      <c r="E69" s="32"/>
      <c r="F69" s="17"/>
      <c r="G69" s="446">
        <f>D78</f>
        <v>0</v>
      </c>
      <c r="H69" s="452" t="str">
        <f>CONCATENATE("",E1-1," Ending Cash Balance (est.)")</f>
        <v>-1 Ending Cash Balance (est.)</v>
      </c>
      <c r="I69" s="528"/>
      <c r="J69" s="445"/>
      <c r="K69" s="17"/>
    </row>
    <row r="70" spans="2:11" ht="15.75">
      <c r="B70" s="212"/>
      <c r="C70" s="66"/>
      <c r="D70" s="66"/>
      <c r="E70" s="32"/>
      <c r="F70" s="17"/>
      <c r="G70" s="446">
        <f>E65</f>
        <v>0</v>
      </c>
      <c r="H70" s="453" t="str">
        <f>CONCATENATE("",E1," Non-AV Receipts (est.)")</f>
        <v>0 Non-AV Receipts (est.)</v>
      </c>
      <c r="I70" s="528"/>
      <c r="J70" s="445"/>
      <c r="K70" s="17"/>
    </row>
    <row r="71" spans="2:11" ht="15.75">
      <c r="B71" s="212"/>
      <c r="C71" s="66"/>
      <c r="D71" s="66"/>
      <c r="E71" s="32"/>
      <c r="F71" s="17"/>
      <c r="G71" s="448">
        <f>IF(E83&gt;0,E82,E84)</f>
        <v>0</v>
      </c>
      <c r="H71" s="453" t="str">
        <f>CONCATENATE("",E1," Ad Valorem Tax (est.)")</f>
        <v>0 Ad Valorem Tax (est.)</v>
      </c>
      <c r="I71" s="528"/>
      <c r="J71" s="445"/>
      <c r="K71" s="509">
        <f>IF(G71=E84,"","Note: Does not include Delinquent Taxes")</f>
      </c>
    </row>
    <row r="72" spans="2:11" ht="15.75">
      <c r="B72" s="212"/>
      <c r="C72" s="66"/>
      <c r="D72" s="66"/>
      <c r="E72" s="32"/>
      <c r="F72" s="17"/>
      <c r="G72" s="446">
        <f>SUM(G69:G71)</f>
        <v>0</v>
      </c>
      <c r="H72" s="453" t="str">
        <f>CONCATENATE("Total ",E1," Resources Available")</f>
        <v>Total 0 Resources Available</v>
      </c>
      <c r="I72" s="445"/>
      <c r="J72" s="445"/>
      <c r="K72" s="17"/>
    </row>
    <row r="73" spans="2:11" ht="15.75">
      <c r="B73" s="212"/>
      <c r="C73" s="66"/>
      <c r="D73" s="66"/>
      <c r="E73" s="32"/>
      <c r="F73" s="17"/>
      <c r="G73" s="449"/>
      <c r="H73" s="447"/>
      <c r="I73" s="444"/>
      <c r="J73" s="445"/>
      <c r="K73" s="17"/>
    </row>
    <row r="74" spans="2:11" ht="15.75">
      <c r="B74" s="123" t="str">
        <f>CONCATENATE("Cash Forward (",E1," column)")</f>
        <v>Cash Forward (0 column)</v>
      </c>
      <c r="C74" s="66"/>
      <c r="D74" s="66"/>
      <c r="E74" s="32"/>
      <c r="F74" s="17"/>
      <c r="G74" s="448">
        <f>ROUND(C77*0.05+C77,0)</f>
        <v>0</v>
      </c>
      <c r="H74" s="453" t="str">
        <f>CONCATENATE("Less ",E1-2," Expenditures + 5%")</f>
        <v>Less -2 Expenditures + 5%</v>
      </c>
      <c r="I74" s="445"/>
      <c r="J74" s="445"/>
      <c r="K74" s="17"/>
    </row>
    <row r="75" spans="2:11" ht="15.75">
      <c r="B75" s="123" t="s">
        <v>170</v>
      </c>
      <c r="C75" s="212"/>
      <c r="D75" s="212"/>
      <c r="E75" s="32"/>
      <c r="F75" s="17"/>
      <c r="G75" s="450">
        <f>G72-G74</f>
        <v>0</v>
      </c>
      <c r="H75" s="454" t="str">
        <f>CONCATENATE("Projected ",E1+1," carryover (est.)")</f>
        <v>Projected 1 carryover (est.)</v>
      </c>
      <c r="I75" s="451"/>
      <c r="J75" s="508"/>
      <c r="K75" s="17"/>
    </row>
    <row r="76" spans="2:11" ht="15.75">
      <c r="B76" s="123" t="s">
        <v>567</v>
      </c>
      <c r="C76" s="320">
        <f>IF(C77*0.1&lt;C75,"Exceed 10% Rule","")</f>
      </c>
      <c r="D76" s="320">
        <f>IF(D77*0.1&lt;D75,"Exceed 10% Rule","")</f>
      </c>
      <c r="E76" s="414">
        <f>IF(E77*0.1&lt;E75,"Exceed 10% Rule","")</f>
      </c>
      <c r="F76" s="17"/>
      <c r="G76" s="535"/>
      <c r="H76" s="535"/>
      <c r="I76" s="535"/>
      <c r="J76" s="17"/>
      <c r="K76" s="17"/>
    </row>
    <row r="77" spans="2:11" ht="15.75">
      <c r="B77" s="217" t="s">
        <v>33</v>
      </c>
      <c r="C77" s="321">
        <f>SUM(C68:C75)</f>
        <v>0</v>
      </c>
      <c r="D77" s="321">
        <f>SUM(D68:D75)</f>
        <v>0</v>
      </c>
      <c r="E77" s="218">
        <f>SUM(E68:E75)</f>
        <v>0</v>
      </c>
      <c r="G77" s="924" t="s">
        <v>598</v>
      </c>
      <c r="H77" s="925"/>
      <c r="I77" s="925"/>
      <c r="J77" s="926"/>
      <c r="K77" s="17"/>
    </row>
    <row r="78" spans="2:11" ht="15.75">
      <c r="B78" s="119" t="s">
        <v>105</v>
      </c>
      <c r="C78" s="317">
        <f>C66-C77</f>
        <v>0</v>
      </c>
      <c r="D78" s="317">
        <f>D66-D77</f>
        <v>0</v>
      </c>
      <c r="E78" s="131" t="s">
        <v>20</v>
      </c>
      <c r="F78" s="17"/>
      <c r="G78" s="522"/>
      <c r="H78" s="452"/>
      <c r="I78" s="494"/>
      <c r="J78" s="521"/>
      <c r="K78" s="17"/>
    </row>
    <row r="79" spans="2:11" ht="15.75">
      <c r="B79" s="18" t="str">
        <f>CONCATENATE("",E1-2,"/",E1-1,"/",E1," Budget Authority Amount:")</f>
        <v>-2/-1/0 Budget Authority Amount:</v>
      </c>
      <c r="C79" s="220">
        <f>inputOth!C96</f>
        <v>0</v>
      </c>
      <c r="D79" s="220">
        <f>inputPrYr!D40</f>
        <v>0</v>
      </c>
      <c r="E79" s="122">
        <f>E77</f>
        <v>0</v>
      </c>
      <c r="F79" s="511"/>
      <c r="G79" s="520" t="str">
        <f>summ!H25</f>
        <v> </v>
      </c>
      <c r="H79" s="452" t="str">
        <f>CONCATENATE("",E1," Fund Mill Rate")</f>
        <v>0 Fund Mill Rate</v>
      </c>
      <c r="I79" s="494"/>
      <c r="J79" s="521"/>
      <c r="K79" s="17"/>
    </row>
    <row r="80" spans="2:11" ht="15.75">
      <c r="B80" s="152"/>
      <c r="C80" s="915" t="s">
        <v>570</v>
      </c>
      <c r="D80" s="916"/>
      <c r="E80" s="32"/>
      <c r="F80" s="511">
        <f>IF(E77/0.95-E77&lt;E80,"Exceeds 5%","")</f>
      </c>
      <c r="G80" s="518" t="str">
        <f>summ!E25</f>
        <v>  </v>
      </c>
      <c r="H80" s="452" t="str">
        <f>CONCATENATE("",E1-1," Fund Mill Rate")</f>
        <v>-1 Fund Mill Rate</v>
      </c>
      <c r="I80" s="494"/>
      <c r="J80" s="521"/>
      <c r="K80" s="17"/>
    </row>
    <row r="81" spans="2:11" ht="15.75">
      <c r="B81" s="411" t="str">
        <f>CONCATENATE(C94,"     ",D94)</f>
        <v>     </v>
      </c>
      <c r="C81" s="917" t="s">
        <v>571</v>
      </c>
      <c r="D81" s="918"/>
      <c r="E81" s="122">
        <f>E77+E80</f>
        <v>0</v>
      </c>
      <c r="F81" s="17"/>
      <c r="G81" s="517">
        <f>summ!H29</f>
        <v>0</v>
      </c>
      <c r="H81" s="452" t="str">
        <f>CONCATENATE("Total ",E1," Mill Rate")</f>
        <v>Total 0 Mill Rate</v>
      </c>
      <c r="I81" s="494"/>
      <c r="J81" s="521"/>
      <c r="K81" s="17"/>
    </row>
    <row r="82" spans="2:11" ht="15.75">
      <c r="B82" s="411" t="str">
        <f>CONCATENATE(C95,"     ",D95)</f>
        <v>     </v>
      </c>
      <c r="C82" s="416"/>
      <c r="D82" s="417" t="s">
        <v>34</v>
      </c>
      <c r="E82" s="142">
        <f>IF(E81-E66&gt;0,E81-E66,0)</f>
        <v>0</v>
      </c>
      <c r="F82" s="17"/>
      <c r="G82" s="518">
        <f>summ!E29</f>
        <v>0</v>
      </c>
      <c r="H82" s="516" t="str">
        <f>CONCATENATE("Total ",E1-1," Mill Rate")</f>
        <v>Total -1 Mill Rate</v>
      </c>
      <c r="I82" s="515"/>
      <c r="J82" s="514"/>
      <c r="K82" s="17"/>
    </row>
    <row r="83" spans="2:6" ht="15.75">
      <c r="B83" s="151"/>
      <c r="C83" s="415" t="s">
        <v>572</v>
      </c>
      <c r="D83" s="491">
        <f>inputOth!$G$86</f>
        <v>0</v>
      </c>
      <c r="E83" s="122">
        <f>ROUND(IF(D83&gt;0,(E82*D83),0),)</f>
        <v>0</v>
      </c>
      <c r="F83" s="17"/>
    </row>
    <row r="84" spans="2:10" ht="15.75">
      <c r="B84" s="19"/>
      <c r="C84" s="919" t="str">
        <f>CONCATENATE("Amount of  ",$E$1-1," Ad Valorem Tax")</f>
        <v>Amount of  -1 Ad Valorem Tax</v>
      </c>
      <c r="D84" s="938"/>
      <c r="E84" s="142">
        <f>E82+E83</f>
        <v>0</v>
      </c>
      <c r="F84" s="17"/>
      <c r="G84" s="787" t="s">
        <v>780</v>
      </c>
      <c r="H84" s="788"/>
      <c r="I84" s="790"/>
      <c r="J84" s="789" t="str">
        <f>cert!G35</f>
        <v>No</v>
      </c>
    </row>
    <row r="85" spans="2:10" ht="15.75">
      <c r="B85" s="19"/>
      <c r="C85" s="153"/>
      <c r="D85" s="153"/>
      <c r="E85" s="153"/>
      <c r="F85" s="17"/>
      <c r="G85" s="791" t="str">
        <f>CONCATENATE("Computed ",E1," tax levy limit amount")</f>
        <v>Computed 0 tax levy limit amount</v>
      </c>
      <c r="H85" s="792"/>
      <c r="I85" s="792"/>
      <c r="J85" s="793">
        <f>computation!J41</f>
        <v>0</v>
      </c>
    </row>
    <row r="86" spans="2:10" ht="15.75">
      <c r="B86" s="152" t="s">
        <v>36</v>
      </c>
      <c r="C86" s="222"/>
      <c r="D86" s="19"/>
      <c r="E86" s="19"/>
      <c r="F86" s="17"/>
      <c r="G86" s="794" t="str">
        <f>CONCATENATE("Total ",E1," tax levy amount")</f>
        <v>Total 0 tax levy amount</v>
      </c>
      <c r="H86" s="795"/>
      <c r="I86" s="795"/>
      <c r="J86" s="796">
        <f>summ!G29</f>
        <v>0</v>
      </c>
    </row>
    <row r="87" ht="15.75">
      <c r="F87" s="17"/>
    </row>
    <row r="88" ht="15.75">
      <c r="F88" s="17"/>
    </row>
    <row r="89" ht="15.75">
      <c r="F89" s="17"/>
    </row>
    <row r="90" ht="15.75">
      <c r="F90" s="17"/>
    </row>
    <row r="92" spans="3:4" ht="15.75" hidden="1">
      <c r="C92" s="5">
        <f>IF(C35&gt;C37,"See Tab A","")</f>
      </c>
      <c r="D92" s="5">
        <f>IF(D35&gt;D37,"See Tab C","")</f>
      </c>
    </row>
    <row r="93" spans="3:4" ht="15.75" hidden="1">
      <c r="C93" s="5">
        <f>IF(C36&lt;0,"See Tab B","")</f>
      </c>
      <c r="D93" s="5">
        <f>IF(D36&lt;0,"See Tab D","")</f>
      </c>
    </row>
    <row r="94" spans="3:4" ht="15.75" hidden="1">
      <c r="C94" s="5">
        <f>IF(C77&gt;C79,"See Tab A","")</f>
      </c>
      <c r="D94" s="5">
        <f>IF(D77&gt;D79,"See Tab C","")</f>
      </c>
    </row>
    <row r="95" spans="3:4" ht="15.75" hidden="1">
      <c r="C95" s="5">
        <f>IF(C78&lt;0,"See Tab B","")</f>
      </c>
      <c r="D95" s="5">
        <f>IF(D78&lt;0,"See Tab D","")</f>
      </c>
    </row>
  </sheetData>
  <sheetProtection sheet="1"/>
  <mergeCells count="12">
    <mergeCell ref="G18:J18"/>
    <mergeCell ref="G25:J25"/>
    <mergeCell ref="G35:J35"/>
    <mergeCell ref="G60:J60"/>
    <mergeCell ref="G67:J67"/>
    <mergeCell ref="G77:J77"/>
    <mergeCell ref="C84:D84"/>
    <mergeCell ref="C38:D38"/>
    <mergeCell ref="C39:D39"/>
    <mergeCell ref="C80:D80"/>
    <mergeCell ref="C81:D81"/>
    <mergeCell ref="C42:D42"/>
  </mergeCells>
  <conditionalFormatting sqref="C75">
    <cfRule type="cellIs" priority="3" dxfId="65" operator="greaterThan" stopIfTrue="1">
      <formula>$C$77*0.1</formula>
    </cfRule>
  </conditionalFormatting>
  <conditionalFormatting sqref="D75">
    <cfRule type="cellIs" priority="4" dxfId="65" operator="greaterThan" stopIfTrue="1">
      <formula>$D$77*0.1</formula>
    </cfRule>
  </conditionalFormatting>
  <conditionalFormatting sqref="E75">
    <cfRule type="cellIs" priority="5" dxfId="65" operator="greaterThan" stopIfTrue="1">
      <formula>$E$77*0.1</formula>
    </cfRule>
  </conditionalFormatting>
  <conditionalFormatting sqref="E80">
    <cfRule type="cellIs" priority="6" dxfId="65" operator="greaterThan" stopIfTrue="1">
      <formula>$E$77/0.95-$E$77</formula>
    </cfRule>
  </conditionalFormatting>
  <conditionalFormatting sqref="C33">
    <cfRule type="cellIs" priority="7" dxfId="65" operator="greaterThan" stopIfTrue="1">
      <formula>$C$35*0.1</formula>
    </cfRule>
  </conditionalFormatting>
  <conditionalFormatting sqref="D33">
    <cfRule type="cellIs" priority="8" dxfId="65" operator="greaterThan" stopIfTrue="1">
      <formula>$D$35*0.1</formula>
    </cfRule>
  </conditionalFormatting>
  <conditionalFormatting sqref="E33">
    <cfRule type="cellIs" priority="9" dxfId="65" operator="greaterThan" stopIfTrue="1">
      <formula>$E$35*0.1</formula>
    </cfRule>
  </conditionalFormatting>
  <conditionalFormatting sqref="E38">
    <cfRule type="cellIs" priority="10" dxfId="65" operator="greaterThan" stopIfTrue="1">
      <formula>$E$35/0.95-$E$35</formula>
    </cfRule>
  </conditionalFormatting>
  <conditionalFormatting sqref="C21">
    <cfRule type="cellIs" priority="11" dxfId="65" operator="greaterThan" stopIfTrue="1">
      <formula>$C$23*0.1</formula>
    </cfRule>
  </conditionalFormatting>
  <conditionalFormatting sqref="D21">
    <cfRule type="cellIs" priority="12" dxfId="65" operator="greaterThan" stopIfTrue="1">
      <formula>$D$23*0.1</formula>
    </cfRule>
  </conditionalFormatting>
  <conditionalFormatting sqref="C63">
    <cfRule type="cellIs" priority="13" dxfId="65" operator="greaterThan" stopIfTrue="1">
      <formula>$C$65*0.1</formula>
    </cfRule>
  </conditionalFormatting>
  <conditionalFormatting sqref="D63">
    <cfRule type="cellIs" priority="14" dxfId="65" operator="greaterThan" stopIfTrue="1">
      <formula>$D$65*0.1</formula>
    </cfRule>
  </conditionalFormatting>
  <conditionalFormatting sqref="C78 C36">
    <cfRule type="cellIs" priority="15" dxfId="65" operator="lessThan" stopIfTrue="1">
      <formula>0</formula>
    </cfRule>
  </conditionalFormatting>
  <conditionalFormatting sqref="D36 D78">
    <cfRule type="cellIs" priority="2" dxfId="0" operator="lessThan" stopIfTrue="1">
      <formula>0</formula>
    </cfRule>
  </conditionalFormatting>
  <conditionalFormatting sqref="D35">
    <cfRule type="cellIs" priority="40" dxfId="1" operator="greaterThan" stopIfTrue="1">
      <formula>$D$37</formula>
    </cfRule>
  </conditionalFormatting>
  <conditionalFormatting sqref="C35">
    <cfRule type="cellIs" priority="58" dxfId="1" operator="greaterThan" stopIfTrue="1">
      <formula>$C$37</formula>
    </cfRule>
  </conditionalFormatting>
  <conditionalFormatting sqref="D77">
    <cfRule type="cellIs" priority="74" dxfId="1" operator="greaterThan" stopIfTrue="1">
      <formula>$D$79</formula>
    </cfRule>
  </conditionalFormatting>
  <conditionalFormatting sqref="C77">
    <cfRule type="cellIs" priority="89" dxfId="1" operator="greaterThan" stopIfTrue="1">
      <formula>$C$79</formula>
    </cfRule>
  </conditionalFormatting>
  <conditionalFormatting sqref="E21">
    <cfRule type="cellIs" priority="92" dxfId="65" operator="greaterThan" stopIfTrue="1">
      <formula>$E$23*0.1+$E$42</formula>
    </cfRule>
  </conditionalFormatting>
  <conditionalFormatting sqref="E63">
    <cfRule type="cellIs" priority="93" dxfId="65" operator="greaterThan" stopIfTrue="1">
      <formula>$E$65*0.1+$E$84</formula>
    </cfRule>
  </conditionalFormatting>
  <printOptions/>
  <pageMargins left="1" right="1" top="0.5" bottom="0.5" header="0.5" footer="0.5"/>
  <pageSetup blackAndWhite="1" fitToHeight="1" fitToWidth="1" horizontalDpi="120" verticalDpi="120" orientation="portrait" scale="5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I124" sqref="I124"/>
    </sheetView>
  </sheetViews>
  <sheetFormatPr defaultColWidth="27.796875" defaultRowHeight="15"/>
  <cols>
    <col min="1" max="1" width="2.3984375" style="5" customWidth="1"/>
    <col min="2" max="2" width="31.09765625" style="5" customWidth="1"/>
    <col min="3" max="5" width="15.796875" style="5" customWidth="1"/>
    <col min="6" max="16384" width="27.796875" style="5" customWidth="1"/>
  </cols>
  <sheetData>
    <row r="1" spans="2:5" ht="15.75">
      <c r="B1" s="19">
        <f>inputPrYr!D3</f>
        <v>0</v>
      </c>
      <c r="C1" s="207"/>
      <c r="D1" s="19"/>
      <c r="E1" s="173">
        <f>inputPrYr!D22</f>
        <v>0</v>
      </c>
    </row>
    <row r="2" spans="2:5" ht="15.75">
      <c r="B2" s="19">
        <f>inputPrYr!D4</f>
        <v>0</v>
      </c>
      <c r="C2" s="207"/>
      <c r="D2" s="19"/>
      <c r="E2" s="152"/>
    </row>
    <row r="3" spans="2:5" ht="15.75">
      <c r="B3" s="24" t="s">
        <v>71</v>
      </c>
      <c r="C3" s="207"/>
      <c r="D3" s="207"/>
      <c r="E3" s="208"/>
    </row>
    <row r="4" spans="2:5" ht="15.75">
      <c r="B4" s="19"/>
      <c r="C4" s="104"/>
      <c r="D4" s="104"/>
      <c r="E4" s="104"/>
    </row>
    <row r="5" spans="2:5" ht="15.75">
      <c r="B5" s="18" t="s">
        <v>24</v>
      </c>
      <c r="C5" s="225" t="s">
        <v>185</v>
      </c>
      <c r="D5" s="209" t="s">
        <v>186</v>
      </c>
      <c r="E5" s="209" t="s">
        <v>187</v>
      </c>
    </row>
    <row r="6" spans="2:5" ht="15.75">
      <c r="B6" s="412">
        <f>inputPrYr!B43</f>
        <v>0</v>
      </c>
      <c r="C6" s="161" t="str">
        <f>CONCATENATE("Actual for ",E1-2,"")</f>
        <v>Actual for -2</v>
      </c>
      <c r="D6" s="161" t="str">
        <f>CONCATENATE("Estimate for ",E1-1,"")</f>
        <v>Estimate for -1</v>
      </c>
      <c r="E6" s="161" t="str">
        <f>CONCATENATE("Year for ",E1,"")</f>
        <v>Year for 0</v>
      </c>
    </row>
    <row r="7" spans="2:5" ht="15.75">
      <c r="B7" s="119" t="s">
        <v>104</v>
      </c>
      <c r="C7" s="32"/>
      <c r="D7" s="122">
        <f>C32</f>
        <v>0</v>
      </c>
      <c r="E7" s="122">
        <f>D32</f>
        <v>0</v>
      </c>
    </row>
    <row r="8" spans="2:5" ht="15.75">
      <c r="B8" s="138" t="s">
        <v>106</v>
      </c>
      <c r="C8" s="44"/>
      <c r="D8" s="44"/>
      <c r="E8" s="44"/>
    </row>
    <row r="9" spans="2:5" ht="15.75">
      <c r="B9" s="212"/>
      <c r="C9" s="187"/>
      <c r="D9" s="187"/>
      <c r="E9" s="187"/>
    </row>
    <row r="10" spans="2:5" ht="15.75">
      <c r="B10" s="212"/>
      <c r="C10" s="187"/>
      <c r="D10" s="187"/>
      <c r="E10" s="187"/>
    </row>
    <row r="11" spans="2:5" ht="15.75">
      <c r="B11" s="212"/>
      <c r="C11" s="187"/>
      <c r="D11" s="187"/>
      <c r="E11" s="187"/>
    </row>
    <row r="12" spans="2:5" ht="15.75">
      <c r="B12" s="212"/>
      <c r="C12" s="187"/>
      <c r="D12" s="187"/>
      <c r="E12" s="187"/>
    </row>
    <row r="13" spans="2:5" ht="15.75">
      <c r="B13" s="212"/>
      <c r="C13" s="187"/>
      <c r="D13" s="187"/>
      <c r="E13" s="187"/>
    </row>
    <row r="14" spans="2:5" ht="15.75">
      <c r="B14" s="212"/>
      <c r="C14" s="187"/>
      <c r="D14" s="187"/>
      <c r="E14" s="187"/>
    </row>
    <row r="15" spans="2:5" ht="15.75">
      <c r="B15" s="212"/>
      <c r="C15" s="187"/>
      <c r="D15" s="187"/>
      <c r="E15" s="187"/>
    </row>
    <row r="16" spans="2:5" ht="15.75">
      <c r="B16" s="213" t="s">
        <v>29</v>
      </c>
      <c r="C16" s="187"/>
      <c r="D16" s="187"/>
      <c r="E16" s="187"/>
    </row>
    <row r="17" spans="2:5" ht="15.75">
      <c r="B17" s="214" t="s">
        <v>170</v>
      </c>
      <c r="C17" s="187"/>
      <c r="D17" s="215"/>
      <c r="E17" s="215"/>
    </row>
    <row r="18" spans="2:5" ht="15.75">
      <c r="B18" s="214" t="s">
        <v>568</v>
      </c>
      <c r="C18" s="414">
        <f>IF(C19*0.1&lt;C17,"Exceed 10% Rule","")</f>
      </c>
      <c r="D18" s="216">
        <f>IF(D19*0.1&lt;D17,"Exceed 10% Rule","")</f>
      </c>
      <c r="E18" s="216">
        <f>IF(E19*0.1&lt;E17,"Exceed 10% Rule","")</f>
      </c>
    </row>
    <row r="19" spans="2:5" ht="15.75">
      <c r="B19" s="217" t="s">
        <v>30</v>
      </c>
      <c r="C19" s="218">
        <f>SUM(C9:C17)</f>
        <v>0</v>
      </c>
      <c r="D19" s="218">
        <f>SUM(D9:D17)</f>
        <v>0</v>
      </c>
      <c r="E19" s="218">
        <f>SUM(E9:E17)</f>
        <v>0</v>
      </c>
    </row>
    <row r="20" spans="2:5" ht="15.75">
      <c r="B20" s="217" t="s">
        <v>31</v>
      </c>
      <c r="C20" s="218">
        <f>C19+C7</f>
        <v>0</v>
      </c>
      <c r="D20" s="218">
        <f>D19+D7</f>
        <v>0</v>
      </c>
      <c r="E20" s="218">
        <f>E19+E7</f>
        <v>0</v>
      </c>
    </row>
    <row r="21" spans="2:5" ht="15.75">
      <c r="B21" s="119" t="s">
        <v>32</v>
      </c>
      <c r="C21" s="44"/>
      <c r="D21" s="44"/>
      <c r="E21" s="44"/>
    </row>
    <row r="22" spans="2:5" ht="15.75">
      <c r="B22" s="212"/>
      <c r="C22" s="187"/>
      <c r="D22" s="187"/>
      <c r="E22" s="187"/>
    </row>
    <row r="23" spans="2:5" ht="15.75">
      <c r="B23" s="212"/>
      <c r="C23" s="187"/>
      <c r="D23" s="187"/>
      <c r="E23" s="187"/>
    </row>
    <row r="24" spans="2:5" ht="15.75">
      <c r="B24" s="212"/>
      <c r="C24" s="187"/>
      <c r="D24" s="187"/>
      <c r="E24" s="187"/>
    </row>
    <row r="25" spans="2:5" ht="15.75">
      <c r="B25" s="212"/>
      <c r="C25" s="187"/>
      <c r="D25" s="187"/>
      <c r="E25" s="187"/>
    </row>
    <row r="26" spans="2:5" ht="15.75">
      <c r="B26" s="212"/>
      <c r="C26" s="187"/>
      <c r="D26" s="187"/>
      <c r="E26" s="187"/>
    </row>
    <row r="27" spans="2:5" ht="15.75">
      <c r="B27" s="212"/>
      <c r="C27" s="187"/>
      <c r="D27" s="187"/>
      <c r="E27" s="187"/>
    </row>
    <row r="28" spans="2:5" ht="15.75">
      <c r="B28" s="123" t="str">
        <f>CONCATENATE("Cash Forward (",E1," column)")</f>
        <v>Cash Forward (0 column)</v>
      </c>
      <c r="C28" s="187"/>
      <c r="D28" s="187"/>
      <c r="E28" s="187"/>
    </row>
    <row r="29" spans="2:5" ht="15.75">
      <c r="B29" s="123" t="s">
        <v>170</v>
      </c>
      <c r="C29" s="187"/>
      <c r="D29" s="215"/>
      <c r="E29" s="215"/>
    </row>
    <row r="30" spans="2:5" ht="15.75">
      <c r="B30" s="123" t="s">
        <v>567</v>
      </c>
      <c r="C30" s="414">
        <f>IF(C31*0.1&lt;C29,"Exceed 10% Rule","")</f>
      </c>
      <c r="D30" s="216">
        <f>IF(D31*0.1&lt;D29,"Exceed 10% Rule","")</f>
      </c>
      <c r="E30" s="216">
        <f>IF(E31*0.1&lt;E29,"Exceed 10% Rule","")</f>
      </c>
    </row>
    <row r="31" spans="2:5" ht="15.75">
      <c r="B31" s="217" t="s">
        <v>33</v>
      </c>
      <c r="C31" s="218">
        <f>SUM(C22:C29)</f>
        <v>0</v>
      </c>
      <c r="D31" s="218">
        <f>SUM(D22:D29)</f>
        <v>0</v>
      </c>
      <c r="E31" s="218">
        <f>SUM(E22:E29)</f>
        <v>0</v>
      </c>
    </row>
    <row r="32" spans="2:5" ht="15.75">
      <c r="B32" s="119" t="s">
        <v>105</v>
      </c>
      <c r="C32" s="142">
        <f>C20-C31</f>
        <v>0</v>
      </c>
      <c r="D32" s="142">
        <f>D20-D31</f>
        <v>0</v>
      </c>
      <c r="E32" s="142">
        <f>E20-E31</f>
        <v>0</v>
      </c>
    </row>
    <row r="33" spans="2:5" ht="15.75">
      <c r="B33" s="18" t="str">
        <f>CONCATENATE("",E1-2,"/",E1-1,"/",E1," Budget Authority Amount:")</f>
        <v>-2/-1/0 Budget Authority Amount:</v>
      </c>
      <c r="C33" s="220">
        <f>inputOth!C97</f>
        <v>0</v>
      </c>
      <c r="D33" s="220">
        <f>inputPrYr!D43</f>
        <v>0</v>
      </c>
      <c r="E33" s="694">
        <f>E31</f>
        <v>0</v>
      </c>
    </row>
    <row r="34" spans="2:5" ht="15.75">
      <c r="B34" s="152"/>
      <c r="C34" s="418">
        <f>IF(C31&gt;C33,"See Tab A","")</f>
      </c>
      <c r="D34" s="418">
        <f>IF(D31&gt;D33,"See Tab C","")</f>
      </c>
      <c r="E34" s="695">
        <f>IF(E32&lt;0,"See Tab E","")</f>
      </c>
    </row>
    <row r="35" spans="2:5" ht="15.75">
      <c r="B35" s="152"/>
      <c r="C35" s="418">
        <f>IF(C32&lt;0,"See Tab B","")</f>
      </c>
      <c r="D35" s="418">
        <f>IF(D32&lt;0,"See Tab D","")</f>
      </c>
      <c r="E35" s="34"/>
    </row>
    <row r="36" spans="2:5" ht="15.75">
      <c r="B36" s="19"/>
      <c r="C36" s="153"/>
      <c r="D36" s="153"/>
      <c r="E36" s="153"/>
    </row>
    <row r="37" spans="2:5" ht="15.75">
      <c r="B37" s="19"/>
      <c r="C37" s="104"/>
      <c r="D37" s="104"/>
      <c r="E37" s="104"/>
    </row>
    <row r="38" spans="2:5" ht="15.75">
      <c r="B38" s="18" t="s">
        <v>24</v>
      </c>
      <c r="C38" s="225" t="s">
        <v>185</v>
      </c>
      <c r="D38" s="209" t="s">
        <v>186</v>
      </c>
      <c r="E38" s="209" t="s">
        <v>187</v>
      </c>
    </row>
    <row r="39" spans="2:5" ht="15.75">
      <c r="B39" s="413">
        <f>inputPrYr!B44</f>
        <v>0</v>
      </c>
      <c r="C39" s="161" t="str">
        <f>C6</f>
        <v>Actual for -2</v>
      </c>
      <c r="D39" s="161" t="str">
        <f>D6</f>
        <v>Estimate for -1</v>
      </c>
      <c r="E39" s="161" t="str">
        <f>E6</f>
        <v>Year for 0</v>
      </c>
    </row>
    <row r="40" spans="2:5" ht="15.75">
      <c r="B40" s="119" t="s">
        <v>104</v>
      </c>
      <c r="C40" s="32"/>
      <c r="D40" s="122">
        <f>C65</f>
        <v>0</v>
      </c>
      <c r="E40" s="122">
        <f>D65</f>
        <v>0</v>
      </c>
    </row>
    <row r="41" spans="2:5" ht="15.75">
      <c r="B41" s="119" t="s">
        <v>106</v>
      </c>
      <c r="C41" s="44"/>
      <c r="D41" s="44"/>
      <c r="E41" s="44"/>
    </row>
    <row r="42" spans="2:5" ht="15.75">
      <c r="B42" s="212"/>
      <c r="C42" s="187"/>
      <c r="D42" s="187"/>
      <c r="E42" s="187"/>
    </row>
    <row r="43" spans="2:5" ht="15.75">
      <c r="B43" s="212"/>
      <c r="C43" s="187"/>
      <c r="D43" s="187"/>
      <c r="E43" s="187"/>
    </row>
    <row r="44" spans="2:5" ht="15.75">
      <c r="B44" s="212"/>
      <c r="C44" s="187"/>
      <c r="D44" s="187"/>
      <c r="E44" s="187"/>
    </row>
    <row r="45" spans="2:5" ht="15.75">
      <c r="B45" s="212"/>
      <c r="C45" s="187"/>
      <c r="D45" s="187"/>
      <c r="E45" s="187"/>
    </row>
    <row r="46" spans="2:5" ht="15.75">
      <c r="B46" s="212"/>
      <c r="C46" s="187"/>
      <c r="D46" s="187"/>
      <c r="E46" s="187"/>
    </row>
    <row r="47" spans="2:5" ht="15.75">
      <c r="B47" s="212"/>
      <c r="C47" s="187"/>
      <c r="D47" s="187"/>
      <c r="E47" s="187"/>
    </row>
    <row r="48" spans="2:5" ht="15.75">
      <c r="B48" s="212"/>
      <c r="C48" s="187"/>
      <c r="D48" s="187"/>
      <c r="E48" s="187"/>
    </row>
    <row r="49" spans="2:5" ht="15.75">
      <c r="B49" s="213" t="s">
        <v>29</v>
      </c>
      <c r="C49" s="187"/>
      <c r="D49" s="187"/>
      <c r="E49" s="187"/>
    </row>
    <row r="50" spans="2:5" ht="15.75">
      <c r="B50" s="214" t="s">
        <v>170</v>
      </c>
      <c r="C50" s="187"/>
      <c r="D50" s="215"/>
      <c r="E50" s="215"/>
    </row>
    <row r="51" spans="2:5" ht="15.75">
      <c r="B51" s="214" t="s">
        <v>568</v>
      </c>
      <c r="C51" s="414">
        <f>IF(C52*0.1&lt;C50,"Exceed 10% Rule","")</f>
      </c>
      <c r="D51" s="216">
        <f>IF(D52*0.1&lt;D50,"Exceed 10% Rule","")</f>
      </c>
      <c r="E51" s="216">
        <f>IF(E52*0.1&lt;E50,"Exceed 10% Rule","")</f>
      </c>
    </row>
    <row r="52" spans="2:5" ht="15.75">
      <c r="B52" s="217" t="s">
        <v>30</v>
      </c>
      <c r="C52" s="218">
        <f>SUM(C42:C50)</f>
        <v>0</v>
      </c>
      <c r="D52" s="218">
        <f>SUM(D42:D50)</f>
        <v>0</v>
      </c>
      <c r="E52" s="218">
        <f>SUM(E42:E50)</f>
        <v>0</v>
      </c>
    </row>
    <row r="53" spans="2:5" ht="15.75">
      <c r="B53" s="217" t="s">
        <v>31</v>
      </c>
      <c r="C53" s="218">
        <f>C52+C40</f>
        <v>0</v>
      </c>
      <c r="D53" s="218">
        <f>D52+D40</f>
        <v>0</v>
      </c>
      <c r="E53" s="218">
        <f>E52+E40</f>
        <v>0</v>
      </c>
    </row>
    <row r="54" spans="2:5" ht="15.75">
      <c r="B54" s="119" t="s">
        <v>32</v>
      </c>
      <c r="C54" s="44"/>
      <c r="D54" s="44"/>
      <c r="E54" s="44"/>
    </row>
    <row r="55" spans="2:5" ht="15.75">
      <c r="B55" s="212"/>
      <c r="C55" s="187"/>
      <c r="D55" s="187"/>
      <c r="E55" s="187"/>
    </row>
    <row r="56" spans="2:5" ht="15.75">
      <c r="B56" s="212"/>
      <c r="C56" s="187"/>
      <c r="D56" s="187"/>
      <c r="E56" s="187"/>
    </row>
    <row r="57" spans="2:5" ht="15.75">
      <c r="B57" s="212"/>
      <c r="C57" s="187"/>
      <c r="D57" s="187"/>
      <c r="E57" s="187"/>
    </row>
    <row r="58" spans="2:5" ht="15.75">
      <c r="B58" s="212"/>
      <c r="C58" s="187"/>
      <c r="D58" s="187"/>
      <c r="E58" s="187"/>
    </row>
    <row r="59" spans="2:5" ht="15.75">
      <c r="B59" s="212"/>
      <c r="C59" s="187"/>
      <c r="D59" s="187"/>
      <c r="E59" s="187"/>
    </row>
    <row r="60" spans="2:5" ht="15.75">
      <c r="B60" s="212"/>
      <c r="C60" s="187"/>
      <c r="D60" s="187"/>
      <c r="E60" s="187"/>
    </row>
    <row r="61" spans="2:5" ht="15.75">
      <c r="B61" s="123" t="str">
        <f>CONCATENATE("Cash Forward (",E1," column)")</f>
        <v>Cash Forward (0 column)</v>
      </c>
      <c r="C61" s="187"/>
      <c r="D61" s="187"/>
      <c r="E61" s="187"/>
    </row>
    <row r="62" spans="2:5" ht="15.75">
      <c r="B62" s="123" t="s">
        <v>170</v>
      </c>
      <c r="C62" s="187"/>
      <c r="D62" s="215"/>
      <c r="E62" s="215"/>
    </row>
    <row r="63" spans="2:5" ht="15.75">
      <c r="B63" s="123" t="s">
        <v>567</v>
      </c>
      <c r="C63" s="414">
        <f>IF(C64*0.1&lt;C62,"Exceed 10% Rule","")</f>
      </c>
      <c r="D63" s="216">
        <f>IF(D64*0.1&lt;D62,"Exceed 10% Rule","")</f>
      </c>
      <c r="E63" s="216">
        <f>IF(E64*0.1&lt;E62,"Exceed 10% Rule","")</f>
      </c>
    </row>
    <row r="64" spans="2:5" ht="15.75">
      <c r="B64" s="217" t="s">
        <v>33</v>
      </c>
      <c r="C64" s="218">
        <f>SUM(C55:C62)</f>
        <v>0</v>
      </c>
      <c r="D64" s="218">
        <f>SUM(D55:D62)</f>
        <v>0</v>
      </c>
      <c r="E64" s="218">
        <f>SUM(E55:E62)</f>
        <v>0</v>
      </c>
    </row>
    <row r="65" spans="2:5" ht="15.75">
      <c r="B65" s="119" t="s">
        <v>105</v>
      </c>
      <c r="C65" s="142">
        <f>C53-C64</f>
        <v>0</v>
      </c>
      <c r="D65" s="142">
        <f>D53-D64</f>
        <v>0</v>
      </c>
      <c r="E65" s="142">
        <f>E53-E64</f>
        <v>0</v>
      </c>
    </row>
    <row r="66" spans="2:5" ht="15.75">
      <c r="B66" s="18" t="str">
        <f>CONCATENATE("",E1-2,"/",E1-1,"/",E1," Budget Authority Amount:")</f>
        <v>-2/-1/0 Budget Authority Amount:</v>
      </c>
      <c r="C66" s="220">
        <f>inputOth!C98</f>
        <v>0</v>
      </c>
      <c r="D66" s="220">
        <f>inputPrYr!D44</f>
        <v>0</v>
      </c>
      <c r="E66" s="694">
        <f>E64</f>
        <v>0</v>
      </c>
    </row>
    <row r="67" spans="2:5" ht="15.75">
      <c r="B67" s="152"/>
      <c r="C67" s="418">
        <f>IF(C64&gt;C66,"See Tab A","")</f>
      </c>
      <c r="D67" s="418">
        <f>IF(D64&gt;D66,"See Tab C","")</f>
      </c>
      <c r="E67" s="696">
        <f>IF(E65&lt;0,"See Tab E","")</f>
      </c>
    </row>
    <row r="68" spans="2:5" ht="15.75">
      <c r="B68" s="152"/>
      <c r="C68" s="418">
        <f>IF(C65&lt;0,"See Tab B","")</f>
      </c>
      <c r="D68" s="418">
        <f>IF(D65&lt;0,"See Tab D","")</f>
      </c>
      <c r="E68" s="19"/>
    </row>
    <row r="69" spans="2:5" ht="15.75">
      <c r="B69" s="19"/>
      <c r="C69" s="19"/>
      <c r="D69" s="207"/>
      <c r="E69" s="207"/>
    </row>
    <row r="70" spans="2:5" ht="15.75">
      <c r="B70" s="152" t="s">
        <v>36</v>
      </c>
      <c r="C70" s="749"/>
      <c r="D70" s="19"/>
      <c r="E70" s="19"/>
    </row>
  </sheetData>
  <sheetProtection sheet="1"/>
  <conditionalFormatting sqref="C62">
    <cfRule type="cellIs" priority="3" dxfId="65" operator="greaterThan" stopIfTrue="1">
      <formula>$C$64*0.1</formula>
    </cfRule>
  </conditionalFormatting>
  <conditionalFormatting sqref="D62">
    <cfRule type="cellIs" priority="4" dxfId="65" operator="greaterThan" stopIfTrue="1">
      <formula>$D$64*0.1</formula>
    </cfRule>
  </conditionalFormatting>
  <conditionalFormatting sqref="E62">
    <cfRule type="cellIs" priority="5" dxfId="65" operator="greaterThan" stopIfTrue="1">
      <formula>$E$64*0.1</formula>
    </cfRule>
  </conditionalFormatting>
  <conditionalFormatting sqref="C50">
    <cfRule type="cellIs" priority="6" dxfId="65" operator="greaterThan" stopIfTrue="1">
      <formula>$C$52*0.1</formula>
    </cfRule>
  </conditionalFormatting>
  <conditionalFormatting sqref="D50">
    <cfRule type="cellIs" priority="7" dxfId="65" operator="greaterThan" stopIfTrue="1">
      <formula>$D$52*0.1</formula>
    </cfRule>
  </conditionalFormatting>
  <conditionalFormatting sqref="E50">
    <cfRule type="cellIs" priority="8" dxfId="65" operator="greaterThan" stopIfTrue="1">
      <formula>$E$52*0.1</formula>
    </cfRule>
  </conditionalFormatting>
  <conditionalFormatting sqref="C29">
    <cfRule type="cellIs" priority="9" dxfId="65" operator="greaterThan" stopIfTrue="1">
      <formula>$C$31*0.1</formula>
    </cfRule>
  </conditionalFormatting>
  <conditionalFormatting sqref="D29">
    <cfRule type="cellIs" priority="10" dxfId="65" operator="greaterThan" stopIfTrue="1">
      <formula>$D$31*0.1</formula>
    </cfRule>
  </conditionalFormatting>
  <conditionalFormatting sqref="E29">
    <cfRule type="cellIs" priority="11" dxfId="65" operator="greaterThan" stopIfTrue="1">
      <formula>$E$31*0.1</formula>
    </cfRule>
  </conditionalFormatting>
  <conditionalFormatting sqref="C17">
    <cfRule type="cellIs" priority="12" dxfId="65" operator="greaterThan" stopIfTrue="1">
      <formula>$C$19*0.1</formula>
    </cfRule>
  </conditionalFormatting>
  <conditionalFormatting sqref="D17">
    <cfRule type="cellIs" priority="13" dxfId="65" operator="greaterThan" stopIfTrue="1">
      <formula>$D$19*0.1</formula>
    </cfRule>
  </conditionalFormatting>
  <conditionalFormatting sqref="E17">
    <cfRule type="cellIs" priority="14" dxfId="65" operator="greaterThan" stopIfTrue="1">
      <formula>$E$19*0.1</formula>
    </cfRule>
  </conditionalFormatting>
  <conditionalFormatting sqref="C65 E65 E32 C32">
    <cfRule type="cellIs" priority="15" dxfId="65" operator="lessThan" stopIfTrue="1">
      <formula>0</formula>
    </cfRule>
  </conditionalFormatting>
  <conditionalFormatting sqref="C64">
    <cfRule type="cellIs" priority="16" dxfId="1" operator="greaterThan" stopIfTrue="1">
      <formula>$C$66</formula>
    </cfRule>
  </conditionalFormatting>
  <conditionalFormatting sqref="D64">
    <cfRule type="cellIs" priority="17" dxfId="1" operator="greaterThan" stopIfTrue="1">
      <formula>$D$66</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5">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71"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70" sqref="T70"/>
    </sheetView>
  </sheetViews>
  <sheetFormatPr defaultColWidth="8.796875" defaultRowHeight="15"/>
  <cols>
    <col min="1" max="1" width="11.59765625" style="5" customWidth="1"/>
    <col min="2" max="2" width="7.3984375" style="5" customWidth="1"/>
    <col min="3" max="3" width="11.59765625" style="5" customWidth="1"/>
    <col min="4" max="4" width="7.3984375" style="5" customWidth="1"/>
    <col min="5" max="5" width="11.59765625" style="5" customWidth="1"/>
    <col min="6" max="6" width="7.3984375" style="5" customWidth="1"/>
    <col min="7" max="7" width="11.59765625" style="5" customWidth="1"/>
    <col min="8" max="8" width="7.3984375" style="5" customWidth="1"/>
    <col min="9" max="9" width="11.59765625" style="5" customWidth="1"/>
    <col min="10" max="16384" width="8.8984375" style="5" customWidth="1"/>
  </cols>
  <sheetData>
    <row r="1" spans="1:11" ht="15.75">
      <c r="A1" s="156">
        <f>inputPrYr!$D$3</f>
        <v>0</v>
      </c>
      <c r="B1" s="226"/>
      <c r="C1" s="53"/>
      <c r="D1" s="53"/>
      <c r="E1" s="53"/>
      <c r="F1" s="227" t="s">
        <v>188</v>
      </c>
      <c r="G1" s="53"/>
      <c r="H1" s="53"/>
      <c r="I1" s="53"/>
      <c r="J1" s="53"/>
      <c r="K1" s="53">
        <f>inputPrYr!$D$22</f>
        <v>0</v>
      </c>
    </row>
    <row r="2" spans="1:11" ht="15.75">
      <c r="A2" s="53"/>
      <c r="B2" s="53"/>
      <c r="C2" s="53"/>
      <c r="D2" s="53"/>
      <c r="E2" s="53"/>
      <c r="F2" s="228" t="str">
        <f>CONCATENATE("(Only the actual budget year for ",K1-2," is to be shown)")</f>
        <v>(Only the actual budget year for -2 is to be shown)</v>
      </c>
      <c r="G2" s="53"/>
      <c r="H2" s="53"/>
      <c r="I2" s="53"/>
      <c r="J2" s="53"/>
      <c r="K2" s="53"/>
    </row>
    <row r="3" spans="1:11" ht="15.75">
      <c r="A3" s="53" t="s">
        <v>189</v>
      </c>
      <c r="B3" s="53"/>
      <c r="C3" s="53"/>
      <c r="D3" s="53"/>
      <c r="E3" s="53"/>
      <c r="F3" s="226"/>
      <c r="G3" s="53"/>
      <c r="H3" s="53"/>
      <c r="I3" s="53"/>
      <c r="J3" s="53"/>
      <c r="K3" s="53"/>
    </row>
    <row r="4" spans="1:11" ht="15.75">
      <c r="A4" s="53" t="s">
        <v>190</v>
      </c>
      <c r="B4" s="53"/>
      <c r="C4" s="53" t="s">
        <v>191</v>
      </c>
      <c r="D4" s="53"/>
      <c r="E4" s="53" t="s">
        <v>192</v>
      </c>
      <c r="F4" s="226"/>
      <c r="G4" s="53" t="s">
        <v>193</v>
      </c>
      <c r="H4" s="53"/>
      <c r="I4" s="53" t="s">
        <v>194</v>
      </c>
      <c r="J4" s="53"/>
      <c r="K4" s="53"/>
    </row>
    <row r="5" spans="1:11" ht="15.75">
      <c r="A5" s="941">
        <f>inputPrYr!B47</f>
        <v>0</v>
      </c>
      <c r="B5" s="942"/>
      <c r="C5" s="941">
        <f>inputPrYr!B48</f>
        <v>0</v>
      </c>
      <c r="D5" s="942"/>
      <c r="E5" s="941">
        <f>inputPrYr!B49</f>
        <v>0</v>
      </c>
      <c r="F5" s="942"/>
      <c r="G5" s="941">
        <f>inputPrYr!B50</f>
        <v>0</v>
      </c>
      <c r="H5" s="942"/>
      <c r="I5" s="941">
        <f>inputPrYr!B51</f>
        <v>0</v>
      </c>
      <c r="J5" s="942"/>
      <c r="K5" s="230"/>
    </row>
    <row r="6" spans="1:11" ht="15.75">
      <c r="A6" s="231" t="s">
        <v>195</v>
      </c>
      <c r="B6" s="232"/>
      <c r="C6" s="233" t="s">
        <v>195</v>
      </c>
      <c r="D6" s="234"/>
      <c r="E6" s="233" t="s">
        <v>195</v>
      </c>
      <c r="F6" s="137"/>
      <c r="G6" s="233" t="s">
        <v>195</v>
      </c>
      <c r="H6" s="229"/>
      <c r="I6" s="233" t="s">
        <v>195</v>
      </c>
      <c r="J6" s="53"/>
      <c r="K6" s="136" t="s">
        <v>7</v>
      </c>
    </row>
    <row r="7" spans="1:11" ht="15.75">
      <c r="A7" s="235" t="s">
        <v>196</v>
      </c>
      <c r="B7" s="236"/>
      <c r="C7" s="237" t="s">
        <v>196</v>
      </c>
      <c r="D7" s="236"/>
      <c r="E7" s="237" t="s">
        <v>196</v>
      </c>
      <c r="F7" s="236"/>
      <c r="G7" s="237" t="s">
        <v>196</v>
      </c>
      <c r="H7" s="236"/>
      <c r="I7" s="237" t="s">
        <v>196</v>
      </c>
      <c r="J7" s="236"/>
      <c r="K7" s="238">
        <f>SUM(B7+D7+F7+H7+J7)</f>
        <v>0</v>
      </c>
    </row>
    <row r="8" spans="1:11" ht="15.75">
      <c r="A8" s="239" t="s">
        <v>106</v>
      </c>
      <c r="B8" s="240"/>
      <c r="C8" s="239" t="s">
        <v>106</v>
      </c>
      <c r="D8" s="241"/>
      <c r="E8" s="239" t="s">
        <v>106</v>
      </c>
      <c r="F8" s="226"/>
      <c r="G8" s="239" t="s">
        <v>106</v>
      </c>
      <c r="H8" s="53"/>
      <c r="I8" s="239" t="s">
        <v>106</v>
      </c>
      <c r="J8" s="53"/>
      <c r="K8" s="226"/>
    </row>
    <row r="9" spans="1:11" ht="15.75">
      <c r="A9" s="242"/>
      <c r="B9" s="236"/>
      <c r="C9" s="242"/>
      <c r="D9" s="236"/>
      <c r="E9" s="242"/>
      <c r="F9" s="236"/>
      <c r="G9" s="242"/>
      <c r="H9" s="236"/>
      <c r="I9" s="242"/>
      <c r="J9" s="236"/>
      <c r="K9" s="226"/>
    </row>
    <row r="10" spans="1:11" ht="15.75">
      <c r="A10" s="242"/>
      <c r="B10" s="236"/>
      <c r="C10" s="242"/>
      <c r="D10" s="236"/>
      <c r="E10" s="242"/>
      <c r="F10" s="236"/>
      <c r="G10" s="242"/>
      <c r="H10" s="236"/>
      <c r="I10" s="242"/>
      <c r="J10" s="236"/>
      <c r="K10" s="226"/>
    </row>
    <row r="11" spans="1:11" ht="15.75">
      <c r="A11" s="242"/>
      <c r="B11" s="236"/>
      <c r="C11" s="243"/>
      <c r="D11" s="244"/>
      <c r="E11" s="243"/>
      <c r="F11" s="236"/>
      <c r="G11" s="243"/>
      <c r="H11" s="236"/>
      <c r="I11" s="245"/>
      <c r="J11" s="236"/>
      <c r="K11" s="226"/>
    </row>
    <row r="12" spans="1:11" ht="15.75">
      <c r="A12" s="242"/>
      <c r="B12" s="246"/>
      <c r="C12" s="242"/>
      <c r="D12" s="247"/>
      <c r="E12" s="248"/>
      <c r="F12" s="236"/>
      <c r="G12" s="248"/>
      <c r="H12" s="236"/>
      <c r="I12" s="248"/>
      <c r="J12" s="236"/>
      <c r="K12" s="226"/>
    </row>
    <row r="13" spans="1:11" ht="15.75">
      <c r="A13" s="249"/>
      <c r="B13" s="250"/>
      <c r="C13" s="251"/>
      <c r="D13" s="247"/>
      <c r="E13" s="251"/>
      <c r="F13" s="236"/>
      <c r="G13" s="251"/>
      <c r="H13" s="236"/>
      <c r="I13" s="245"/>
      <c r="J13" s="236"/>
      <c r="K13" s="226"/>
    </row>
    <row r="14" spans="1:11" ht="15.75">
      <c r="A14" s="242"/>
      <c r="B14" s="236"/>
      <c r="C14" s="248"/>
      <c r="D14" s="247"/>
      <c r="E14" s="248"/>
      <c r="F14" s="236"/>
      <c r="G14" s="248"/>
      <c r="H14" s="236"/>
      <c r="I14" s="248"/>
      <c r="J14" s="236"/>
      <c r="K14" s="226"/>
    </row>
    <row r="15" spans="1:11" ht="15.75">
      <c r="A15" s="242"/>
      <c r="B15" s="236"/>
      <c r="C15" s="248"/>
      <c r="D15" s="247"/>
      <c r="E15" s="248"/>
      <c r="F15" s="236"/>
      <c r="G15" s="248"/>
      <c r="H15" s="236"/>
      <c r="I15" s="248"/>
      <c r="J15" s="236"/>
      <c r="K15" s="226"/>
    </row>
    <row r="16" spans="1:11" ht="15.75">
      <c r="A16" s="242"/>
      <c r="B16" s="250"/>
      <c r="C16" s="242"/>
      <c r="D16" s="247"/>
      <c r="E16" s="242"/>
      <c r="F16" s="236"/>
      <c r="G16" s="248"/>
      <c r="H16" s="236"/>
      <c r="I16" s="242"/>
      <c r="J16" s="236"/>
      <c r="K16" s="226"/>
    </row>
    <row r="17" spans="1:11" ht="15.75">
      <c r="A17" s="239" t="s">
        <v>30</v>
      </c>
      <c r="B17" s="238">
        <f>SUM(B9:B16)</f>
        <v>0</v>
      </c>
      <c r="C17" s="239" t="s">
        <v>30</v>
      </c>
      <c r="D17" s="238">
        <f>SUM(D9:D16)</f>
        <v>0</v>
      </c>
      <c r="E17" s="239" t="s">
        <v>30</v>
      </c>
      <c r="F17" s="252">
        <f>SUM(F9:F16)</f>
        <v>0</v>
      </c>
      <c r="G17" s="239" t="s">
        <v>30</v>
      </c>
      <c r="H17" s="238">
        <f>SUM(H9:H16)</f>
        <v>0</v>
      </c>
      <c r="I17" s="239" t="s">
        <v>30</v>
      </c>
      <c r="J17" s="238">
        <f>SUM(J9:J16)</f>
        <v>0</v>
      </c>
      <c r="K17" s="238">
        <f>SUM(B17+D17+F17+H17+J17)</f>
        <v>0</v>
      </c>
    </row>
    <row r="18" spans="1:11" ht="15.75">
      <c r="A18" s="239" t="s">
        <v>31</v>
      </c>
      <c r="B18" s="238">
        <f>SUM(B7+B17)</f>
        <v>0</v>
      </c>
      <c r="C18" s="239" t="s">
        <v>31</v>
      </c>
      <c r="D18" s="238">
        <f>SUM(D7+D17)</f>
        <v>0</v>
      </c>
      <c r="E18" s="239" t="s">
        <v>31</v>
      </c>
      <c r="F18" s="238">
        <f>SUM(F7+F17)</f>
        <v>0</v>
      </c>
      <c r="G18" s="239" t="s">
        <v>31</v>
      </c>
      <c r="H18" s="238">
        <f>SUM(H7+H17)</f>
        <v>0</v>
      </c>
      <c r="I18" s="239" t="s">
        <v>31</v>
      </c>
      <c r="J18" s="238">
        <f>SUM(J7+J17)</f>
        <v>0</v>
      </c>
      <c r="K18" s="238">
        <f>SUM(B18+D18+F18+H18+J18)</f>
        <v>0</v>
      </c>
    </row>
    <row r="19" spans="1:11" ht="15.75">
      <c r="A19" s="239" t="s">
        <v>32</v>
      </c>
      <c r="B19" s="240"/>
      <c r="C19" s="239" t="s">
        <v>32</v>
      </c>
      <c r="D19" s="241"/>
      <c r="E19" s="239" t="s">
        <v>32</v>
      </c>
      <c r="F19" s="226"/>
      <c r="G19" s="239" t="s">
        <v>32</v>
      </c>
      <c r="H19" s="53"/>
      <c r="I19" s="239" t="s">
        <v>32</v>
      </c>
      <c r="J19" s="53"/>
      <c r="K19" s="226"/>
    </row>
    <row r="20" spans="1:11" ht="15.75">
      <c r="A20" s="242"/>
      <c r="B20" s="236"/>
      <c r="C20" s="248"/>
      <c r="D20" s="236"/>
      <c r="E20" s="248"/>
      <c r="F20" s="236"/>
      <c r="G20" s="248"/>
      <c r="H20" s="236"/>
      <c r="I20" s="248"/>
      <c r="J20" s="236"/>
      <c r="K20" s="226"/>
    </row>
    <row r="21" spans="1:11" ht="15.75">
      <c r="A21" s="242"/>
      <c r="B21" s="236"/>
      <c r="C21" s="248"/>
      <c r="D21" s="236"/>
      <c r="E21" s="248"/>
      <c r="F21" s="236"/>
      <c r="G21" s="248"/>
      <c r="H21" s="236"/>
      <c r="I21" s="248"/>
      <c r="J21" s="236"/>
      <c r="K21" s="226"/>
    </row>
    <row r="22" spans="1:11" ht="15.75">
      <c r="A22" s="242"/>
      <c r="B22" s="236"/>
      <c r="C22" s="251"/>
      <c r="D22" s="236"/>
      <c r="E22" s="251"/>
      <c r="F22" s="236"/>
      <c r="G22" s="251"/>
      <c r="H22" s="236"/>
      <c r="I22" s="245"/>
      <c r="J22" s="236"/>
      <c r="K22" s="226"/>
    </row>
    <row r="23" spans="1:11" ht="15.75">
      <c r="A23" s="242"/>
      <c r="B23" s="236"/>
      <c r="C23" s="248"/>
      <c r="D23" s="236"/>
      <c r="E23" s="248"/>
      <c r="F23" s="236"/>
      <c r="G23" s="248"/>
      <c r="H23" s="236"/>
      <c r="I23" s="248"/>
      <c r="J23" s="236"/>
      <c r="K23" s="226"/>
    </row>
    <row r="24" spans="1:11" ht="15.75">
      <c r="A24" s="242"/>
      <c r="B24" s="236"/>
      <c r="C24" s="251"/>
      <c r="D24" s="236"/>
      <c r="E24" s="251"/>
      <c r="F24" s="236"/>
      <c r="G24" s="251"/>
      <c r="H24" s="236"/>
      <c r="I24" s="245"/>
      <c r="J24" s="236"/>
      <c r="K24" s="226"/>
    </row>
    <row r="25" spans="1:11" ht="15.75">
      <c r="A25" s="242"/>
      <c r="B25" s="236"/>
      <c r="C25" s="248"/>
      <c r="D25" s="236"/>
      <c r="E25" s="248"/>
      <c r="F25" s="236"/>
      <c r="G25" s="248"/>
      <c r="H25" s="236"/>
      <c r="I25" s="248"/>
      <c r="J25" s="236"/>
      <c r="K25" s="226"/>
    </row>
    <row r="26" spans="1:11" ht="15.75">
      <c r="A26" s="242"/>
      <c r="B26" s="236"/>
      <c r="C26" s="248"/>
      <c r="D26" s="236"/>
      <c r="E26" s="248"/>
      <c r="F26" s="236"/>
      <c r="G26" s="248"/>
      <c r="H26" s="236"/>
      <c r="I26" s="248"/>
      <c r="J26" s="236"/>
      <c r="K26" s="226"/>
    </row>
    <row r="27" spans="1:11" ht="15.75">
      <c r="A27" s="242"/>
      <c r="B27" s="236"/>
      <c r="C27" s="242"/>
      <c r="D27" s="236"/>
      <c r="E27" s="242"/>
      <c r="F27" s="236"/>
      <c r="G27" s="248"/>
      <c r="H27" s="236"/>
      <c r="I27" s="248"/>
      <c r="J27" s="236"/>
      <c r="K27" s="226"/>
    </row>
    <row r="28" spans="1:11" ht="15.75">
      <c r="A28" s="239" t="s">
        <v>33</v>
      </c>
      <c r="B28" s="238">
        <f>SUM(B20:B27)</f>
        <v>0</v>
      </c>
      <c r="C28" s="239" t="s">
        <v>33</v>
      </c>
      <c r="D28" s="238">
        <f>SUM(D20:D27)</f>
        <v>0</v>
      </c>
      <c r="E28" s="239" t="s">
        <v>33</v>
      </c>
      <c r="F28" s="252">
        <f>SUM(F20:F27)</f>
        <v>0</v>
      </c>
      <c r="G28" s="239" t="s">
        <v>33</v>
      </c>
      <c r="H28" s="252">
        <f>SUM(H20:H27)</f>
        <v>0</v>
      </c>
      <c r="I28" s="239" t="s">
        <v>33</v>
      </c>
      <c r="J28" s="238">
        <f>SUM(J20:J27)</f>
        <v>0</v>
      </c>
      <c r="K28" s="238">
        <f>SUM(B28+D28+F28+H28+J28)</f>
        <v>0</v>
      </c>
    </row>
    <row r="29" spans="1:12" ht="15.75">
      <c r="A29" s="239" t="s">
        <v>197</v>
      </c>
      <c r="B29" s="238">
        <f>SUM(B18-B28)</f>
        <v>0</v>
      </c>
      <c r="C29" s="239" t="s">
        <v>197</v>
      </c>
      <c r="D29" s="238">
        <f>SUM(D18-D28)</f>
        <v>0</v>
      </c>
      <c r="E29" s="239" t="s">
        <v>197</v>
      </c>
      <c r="F29" s="238">
        <f>SUM(F18-F28)</f>
        <v>0</v>
      </c>
      <c r="G29" s="239" t="s">
        <v>197</v>
      </c>
      <c r="H29" s="238">
        <f>SUM(H18-H28)</f>
        <v>0</v>
      </c>
      <c r="I29" s="239" t="s">
        <v>197</v>
      </c>
      <c r="J29" s="238">
        <f>SUM(J18-J28)</f>
        <v>0</v>
      </c>
      <c r="K29" s="253">
        <f>SUM(B29+D29+F29+H29+J29)</f>
        <v>0</v>
      </c>
      <c r="L29" s="5" t="s">
        <v>198</v>
      </c>
    </row>
    <row r="30" spans="1:12" ht="15.75">
      <c r="A30" s="239"/>
      <c r="B30" s="285">
        <f>IF(B29&lt;0,"See Tab B","")</f>
      </c>
      <c r="C30" s="239"/>
      <c r="D30" s="285">
        <f>IF(D29&lt;0,"See Tab B","")</f>
      </c>
      <c r="E30" s="239"/>
      <c r="F30" s="285">
        <f>IF(F29&lt;0,"See Tab B","")</f>
      </c>
      <c r="G30" s="53"/>
      <c r="H30" s="285">
        <f>IF(H29&lt;0,"See Tab B","")</f>
      </c>
      <c r="I30" s="53"/>
      <c r="J30" s="285">
        <f>IF(J29&lt;0,"See Tab B","")</f>
      </c>
      <c r="K30" s="253">
        <f>SUM(K7+K17-K28)</f>
        <v>0</v>
      </c>
      <c r="L30" s="5" t="s">
        <v>198</v>
      </c>
    </row>
    <row r="31" spans="1:11" ht="15.75">
      <c r="A31" s="53"/>
      <c r="B31" s="254"/>
      <c r="C31" s="53"/>
      <c r="D31" s="226"/>
      <c r="E31" s="53"/>
      <c r="F31" s="53"/>
      <c r="G31" s="255" t="s">
        <v>199</v>
      </c>
      <c r="H31" s="255"/>
      <c r="I31" s="255"/>
      <c r="J31" s="255"/>
      <c r="K31" s="53"/>
    </row>
    <row r="32" spans="1:11" ht="15.75">
      <c r="A32" s="53"/>
      <c r="B32" s="254"/>
      <c r="C32" s="53"/>
      <c r="D32" s="53"/>
      <c r="E32" s="53"/>
      <c r="F32" s="53"/>
      <c r="G32" s="53"/>
      <c r="H32" s="53"/>
      <c r="I32" s="53"/>
      <c r="J32" s="53"/>
      <c r="K32" s="53"/>
    </row>
    <row r="33" spans="1:11" ht="15.75">
      <c r="A33" s="53"/>
      <c r="B33" s="254"/>
      <c r="C33" s="53"/>
      <c r="D33" s="53"/>
      <c r="E33" s="256" t="s">
        <v>36</v>
      </c>
      <c r="F33" s="749"/>
      <c r="G33" s="53"/>
      <c r="H33" s="53"/>
      <c r="I33" s="53"/>
      <c r="J33" s="53"/>
      <c r="K33" s="53"/>
    </row>
    <row r="34" ht="15.75">
      <c r="B34" s="257"/>
    </row>
    <row r="35" ht="15.75">
      <c r="B35" s="257"/>
    </row>
    <row r="36" ht="15.75">
      <c r="B36" s="257"/>
    </row>
    <row r="37" ht="15.75">
      <c r="B37" s="257"/>
    </row>
    <row r="38" ht="15.75">
      <c r="B38" s="257"/>
    </row>
    <row r="39" ht="15.75">
      <c r="B39" s="257"/>
    </row>
    <row r="40" ht="15.75">
      <c r="B40" s="257"/>
    </row>
    <row r="41" ht="15.75">
      <c r="B41" s="25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O84" sqref="O84"/>
    </sheetView>
  </sheetViews>
  <sheetFormatPr defaultColWidth="8.796875" defaultRowHeight="15"/>
  <cols>
    <col min="1" max="1" width="62.3984375" style="54" customWidth="1"/>
    <col min="2" max="16384" width="8.8984375" style="54" customWidth="1"/>
  </cols>
  <sheetData>
    <row r="1" ht="18.75">
      <c r="A1" s="400" t="s">
        <v>234</v>
      </c>
    </row>
    <row r="2" ht="15.75">
      <c r="A2" s="5"/>
    </row>
    <row r="3" ht="15.75">
      <c r="A3" s="5"/>
    </row>
    <row r="4" ht="56.25" customHeight="1">
      <c r="A4" s="401" t="s">
        <v>235</v>
      </c>
    </row>
    <row r="5" ht="15.75">
      <c r="A5" s="402"/>
    </row>
    <row r="6" ht="15.75">
      <c r="A6" s="5"/>
    </row>
    <row r="7" ht="50.25" customHeight="1">
      <c r="A7" s="401" t="s">
        <v>236</v>
      </c>
    </row>
    <row r="8" ht="15.75">
      <c r="A8" s="5"/>
    </row>
    <row r="9" ht="15.75">
      <c r="A9" s="5"/>
    </row>
    <row r="10" ht="52.5" customHeight="1">
      <c r="A10" s="401" t="s">
        <v>237</v>
      </c>
    </row>
    <row r="11" ht="15.75">
      <c r="A11" s="5"/>
    </row>
    <row r="12" ht="15.75">
      <c r="A12" s="5"/>
    </row>
    <row r="13" ht="52.5" customHeight="1">
      <c r="A13" s="401" t="s">
        <v>238</v>
      </c>
    </row>
    <row r="14" ht="15.75">
      <c r="A14" s="402"/>
    </row>
    <row r="15" ht="15.75">
      <c r="A15" s="402"/>
    </row>
    <row r="16" ht="51" customHeight="1">
      <c r="A16" s="403" t="s">
        <v>559</v>
      </c>
    </row>
    <row r="17" ht="15.75">
      <c r="A17" s="402"/>
    </row>
    <row r="18" ht="15.75">
      <c r="A18" s="402"/>
    </row>
    <row r="19" ht="37.5" customHeight="1">
      <c r="A19" s="401" t="s">
        <v>239</v>
      </c>
    </row>
    <row r="20" ht="15.75">
      <c r="A20" s="5"/>
    </row>
    <row r="21" ht="15.75">
      <c r="A21" s="5"/>
    </row>
    <row r="22" ht="47.25">
      <c r="A22" s="401" t="s">
        <v>240</v>
      </c>
    </row>
    <row r="23" ht="15.75">
      <c r="A23" s="402"/>
    </row>
    <row r="24" ht="15.75">
      <c r="A24" s="5"/>
    </row>
    <row r="25" ht="67.5" customHeight="1">
      <c r="A25" s="401" t="s">
        <v>241</v>
      </c>
    </row>
    <row r="26" ht="68.25" customHeight="1">
      <c r="A26" s="405" t="s">
        <v>242</v>
      </c>
    </row>
    <row r="27" ht="15.75">
      <c r="A27" s="5"/>
    </row>
    <row r="28" ht="15.75">
      <c r="A28" s="5"/>
    </row>
    <row r="29" ht="51" customHeight="1">
      <c r="A29" s="406" t="s">
        <v>560</v>
      </c>
    </row>
    <row r="30" ht="15.75">
      <c r="A30" s="5"/>
    </row>
    <row r="31" ht="15.75">
      <c r="A31" s="402"/>
    </row>
    <row r="32" ht="69" customHeight="1">
      <c r="A32" s="406" t="s">
        <v>561</v>
      </c>
    </row>
    <row r="33" ht="15.75">
      <c r="A33" s="402"/>
    </row>
    <row r="34" ht="15.75">
      <c r="A34" s="402"/>
    </row>
    <row r="35" ht="52.5" customHeight="1">
      <c r="A35" s="406" t="s">
        <v>562</v>
      </c>
    </row>
    <row r="36" ht="15.75">
      <c r="A36" s="402"/>
    </row>
    <row r="37" ht="15.75">
      <c r="A37" s="402"/>
    </row>
    <row r="38" ht="59.25" customHeight="1">
      <c r="A38" s="401" t="s">
        <v>243</v>
      </c>
    </row>
    <row r="39" ht="15.75">
      <c r="A39" s="5"/>
    </row>
    <row r="40" ht="15.75">
      <c r="A40" s="5"/>
    </row>
    <row r="41" ht="53.25" customHeight="1">
      <c r="A41" s="401" t="s">
        <v>244</v>
      </c>
    </row>
    <row r="42" ht="15.75">
      <c r="A42" s="402"/>
    </row>
    <row r="43" ht="15.75">
      <c r="A43" s="402"/>
    </row>
    <row r="44" ht="38.25" customHeight="1">
      <c r="A44" s="401" t="s">
        <v>245</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58"/>
  <sheetViews>
    <sheetView zoomScalePageLayoutView="0" workbookViewId="0" topLeftCell="A1">
      <selection activeCell="R117" sqref="R117"/>
    </sheetView>
  </sheetViews>
  <sheetFormatPr defaultColWidth="8.796875" defaultRowHeight="15"/>
  <cols>
    <col min="1" max="1" width="15.796875" style="5" customWidth="1"/>
    <col min="2" max="2" width="12.796875" style="5" customWidth="1"/>
    <col min="3" max="3" width="8.796875" style="5" customWidth="1"/>
    <col min="4" max="4" width="12.796875" style="5" customWidth="1"/>
    <col min="5" max="5" width="9.69921875" style="5" customWidth="1"/>
    <col min="6" max="6" width="12.796875" style="5" customWidth="1"/>
    <col min="7" max="7" width="10.796875" style="5" customWidth="1"/>
    <col min="8" max="8" width="8.796875" style="5" customWidth="1"/>
    <col min="9" max="9" width="8.8984375" style="5" customWidth="1"/>
    <col min="10" max="10" width="12.3984375" style="5" customWidth="1"/>
    <col min="11" max="11" width="12.296875" style="5" customWidth="1"/>
    <col min="12" max="12" width="5.796875" style="5" customWidth="1"/>
    <col min="13" max="13" width="12.09765625" style="5" customWidth="1"/>
    <col min="14" max="16384" width="8.8984375" style="5" customWidth="1"/>
  </cols>
  <sheetData>
    <row r="1" spans="1:8" ht="15.75">
      <c r="A1" s="900" t="s">
        <v>72</v>
      </c>
      <c r="B1" s="900"/>
      <c r="C1" s="900"/>
      <c r="D1" s="900"/>
      <c r="E1" s="900"/>
      <c r="F1" s="900"/>
      <c r="G1" s="900"/>
      <c r="H1" s="840"/>
    </row>
    <row r="2" spans="1:9" ht="15.75">
      <c r="A2" s="896" t="s">
        <v>98</v>
      </c>
      <c r="B2" s="896"/>
      <c r="C2" s="896"/>
      <c r="D2" s="896"/>
      <c r="E2" s="896"/>
      <c r="F2" s="896"/>
      <c r="G2" s="896"/>
      <c r="H2" s="896"/>
      <c r="I2" s="90">
        <f>inputPrYr!D22</f>
        <v>0</v>
      </c>
    </row>
    <row r="3" spans="1:8" ht="15.75">
      <c r="A3" s="829">
        <f>inputPrYr!D3</f>
        <v>0</v>
      </c>
      <c r="B3" s="829"/>
      <c r="C3" s="829"/>
      <c r="D3" s="829"/>
      <c r="E3" s="829"/>
      <c r="F3" s="829"/>
      <c r="G3" s="829"/>
      <c r="H3" s="829"/>
    </row>
    <row r="4" spans="1:8" ht="15.75">
      <c r="A4" s="829">
        <f>inputPrYr!D4</f>
        <v>0</v>
      </c>
      <c r="B4" s="829"/>
      <c r="C4" s="829"/>
      <c r="D4" s="829"/>
      <c r="E4" s="829"/>
      <c r="F4" s="829"/>
      <c r="G4" s="829"/>
      <c r="H4" s="829"/>
    </row>
    <row r="5" spans="1:8" ht="15.75">
      <c r="A5" s="945" t="str">
        <f>CONCATENATE("will meet on ",inputBudSum!B7," at ",inputBudSum!B9," at ",inputBudSum!B11," for the purpose of hearing and")</f>
        <v>will meet on  at  at  for the purpose of hearing and</v>
      </c>
      <c r="B5" s="945"/>
      <c r="C5" s="945"/>
      <c r="D5" s="945"/>
      <c r="E5" s="945"/>
      <c r="F5" s="945"/>
      <c r="G5" s="945"/>
      <c r="H5" s="945"/>
    </row>
    <row r="6" spans="1:8" ht="15.75">
      <c r="A6" s="101" t="s">
        <v>262</v>
      </c>
      <c r="B6" s="26"/>
      <c r="C6" s="26"/>
      <c r="D6" s="26"/>
      <c r="E6" s="26"/>
      <c r="F6" s="26"/>
      <c r="G6" s="26"/>
      <c r="H6" s="26"/>
    </row>
    <row r="7" spans="1:8" ht="15.75">
      <c r="A7" s="296" t="str">
        <f>CONCATENATE("Detailed budget information is available at ",inputBudSum!B14," and will be available at this hearing.")</f>
        <v>Detailed budget information is available at  and will be available at this hearing.</v>
      </c>
      <c r="B7" s="297"/>
      <c r="C7" s="297"/>
      <c r="D7" s="297"/>
      <c r="E7" s="297"/>
      <c r="F7" s="297"/>
      <c r="G7" s="26"/>
      <c r="H7" s="26"/>
    </row>
    <row r="8" spans="1:8" ht="12" customHeight="1">
      <c r="A8" s="763"/>
      <c r="B8" s="764"/>
      <c r="C8" s="764"/>
      <c r="D8" s="764"/>
      <c r="E8" s="764"/>
      <c r="F8" s="764"/>
      <c r="G8" s="297"/>
      <c r="H8" s="297"/>
    </row>
    <row r="9" spans="1:8" ht="15" customHeight="1">
      <c r="A9" s="943" t="s">
        <v>754</v>
      </c>
      <c r="B9" s="904"/>
      <c r="C9" s="904"/>
      <c r="D9" s="904"/>
      <c r="E9" s="904"/>
      <c r="F9" s="904"/>
      <c r="G9" s="904"/>
      <c r="H9" s="904"/>
    </row>
    <row r="10" spans="1:8" ht="12" customHeight="1">
      <c r="A10" s="948" t="str">
        <f>CONCATENATE(inputPrYr!D4," (home county) ",inputPrYr!D6,IF(inputPrYr!D7="","",", "),inputPrYr!D7,IF(inputPrYr!D8="","",", "),inputPrYr!D8,IF(inputPrYr!D9="","",", "),inputPrYr!D9,IF(inputPrYr!D10="","",", "),inputPrYr!D10)</f>
        <v> (home county) </v>
      </c>
      <c r="B10" s="958"/>
      <c r="C10" s="958"/>
      <c r="D10" s="958"/>
      <c r="E10" s="958"/>
      <c r="F10" s="958"/>
      <c r="G10" s="958"/>
      <c r="H10" s="958"/>
    </row>
    <row r="11" spans="1:8" ht="12" customHeight="1">
      <c r="A11" s="948">
        <f>CONCATENATE(inputPrYr!D11,IF(inputPrYr!D12="","",", "),inputPrYr!D12,IF(inputPrYr!D13="","",", "),inputPrYr!D13,IF(inputPrYr!D14="","",", "),inputPrYr!D14,IF(inputPrYr!D15="","",", "),inputPrYr!D15,IF(inputPrYr!D16="","",", "),inputPrYr!D16)</f>
      </c>
      <c r="B11" s="904"/>
      <c r="C11" s="904"/>
      <c r="D11" s="904"/>
      <c r="E11" s="904"/>
      <c r="F11" s="904"/>
      <c r="G11" s="904"/>
      <c r="H11" s="904"/>
    </row>
    <row r="12" spans="1:8" ht="12" customHeight="1">
      <c r="A12" s="945">
        <f>CONCATENATE(inputPrYr!D17,IF(inputPrYr!D18="","",", "),inputPrYr!D18,IF(inputPrYr!D19="","",", "),inputPrYr!D19,IF(inputPrYr!D20="","",", "),inputPrYr!D20)</f>
      </c>
      <c r="B12" s="959"/>
      <c r="C12" s="959"/>
      <c r="D12" s="959"/>
      <c r="E12" s="959"/>
      <c r="F12" s="959"/>
      <c r="G12" s="959"/>
      <c r="H12" s="959"/>
    </row>
    <row r="13" spans="1:8" ht="12" customHeight="1">
      <c r="A13" s="19"/>
      <c r="B13" s="19"/>
      <c r="C13" s="19"/>
      <c r="D13" s="19"/>
      <c r="E13" s="19"/>
      <c r="F13" s="19"/>
      <c r="G13" s="19"/>
      <c r="H13" s="19"/>
    </row>
    <row r="14" spans="1:8" ht="15.75">
      <c r="A14" s="943" t="s">
        <v>73</v>
      </c>
      <c r="B14" s="904"/>
      <c r="C14" s="904"/>
      <c r="D14" s="904"/>
      <c r="E14" s="904"/>
      <c r="F14" s="904"/>
      <c r="G14" s="904"/>
      <c r="H14" s="904"/>
    </row>
    <row r="15" spans="1:13" ht="15.75">
      <c r="A15" s="101" t="str">
        <f>CONCATENATE("Proposed Budget ",I2," Expenditures and Amount of ",I2-1," Ad Valorem Tax establish the maximum limits")</f>
        <v>Proposed Budget 0 Expenditures and Amount of -1 Ad Valorem Tax establish the maximum limits</v>
      </c>
      <c r="B15" s="26"/>
      <c r="C15" s="26"/>
      <c r="D15" s="26"/>
      <c r="E15" s="26"/>
      <c r="F15" s="26"/>
      <c r="G15" s="26"/>
      <c r="H15" s="26"/>
      <c r="J15" s="949" t="str">
        <f>CONCATENATE("Estimated Value Of One Mill For ",I2,"")</f>
        <v>Estimated Value Of One Mill For 0</v>
      </c>
      <c r="K15" s="950"/>
      <c r="L15" s="950"/>
      <c r="M15" s="951"/>
    </row>
    <row r="16" spans="1:13" ht="15.75">
      <c r="A16" s="101" t="str">
        <f>CONCATENATE("of the ",I2," budget.  Estimated Tax Rate is subject to change depending on the final assessed valuation.")</f>
        <v>of the 0 budget.  Estimated Tax Rate is subject to change depending on the final assessed valuation.</v>
      </c>
      <c r="B16" s="26"/>
      <c r="C16" s="26"/>
      <c r="D16" s="26"/>
      <c r="E16" s="26"/>
      <c r="F16" s="26"/>
      <c r="G16" s="26"/>
      <c r="H16" s="26"/>
      <c r="J16" s="422"/>
      <c r="K16" s="423"/>
      <c r="L16" s="423"/>
      <c r="M16" s="424"/>
    </row>
    <row r="17" spans="1:13" ht="15.75">
      <c r="A17" s="19"/>
      <c r="B17" s="103"/>
      <c r="C17" s="103"/>
      <c r="D17" s="103"/>
      <c r="E17" s="103"/>
      <c r="F17" s="103"/>
      <c r="G17" s="103"/>
      <c r="H17" s="103"/>
      <c r="J17" s="425" t="s">
        <v>573</v>
      </c>
      <c r="K17" s="426"/>
      <c r="L17" s="426"/>
      <c r="M17" s="761">
        <f>ROUND(F33/1000,0)</f>
        <v>0</v>
      </c>
    </row>
    <row r="18" spans="1:13" ht="15.75">
      <c r="A18" s="198"/>
      <c r="B18" s="258" t="str">
        <f>CONCATENATE("Prior Year Actual for ",I2-2,"")</f>
        <v>Prior Year Actual for -2</v>
      </c>
      <c r="C18" s="259"/>
      <c r="D18" s="260" t="str">
        <f>CONCATENATE("Current Year Estimate for ",I2-1,"")</f>
        <v>Current Year Estimate for -1</v>
      </c>
      <c r="E18" s="259"/>
      <c r="F18" s="258" t="str">
        <f>CONCATENATE("Proposed Budget Year for ",I2,"")</f>
        <v>Proposed Budget Year for 0</v>
      </c>
      <c r="G18" s="261"/>
      <c r="H18" s="259"/>
      <c r="J18" s="17"/>
      <c r="K18" s="17"/>
      <c r="L18" s="17"/>
      <c r="M18" s="17"/>
    </row>
    <row r="19" spans="1:13" ht="15.75">
      <c r="A19" s="201"/>
      <c r="B19" s="84"/>
      <c r="C19" s="84" t="s">
        <v>41</v>
      </c>
      <c r="D19" s="84"/>
      <c r="E19" s="84" t="s">
        <v>41</v>
      </c>
      <c r="F19" s="201" t="s">
        <v>563</v>
      </c>
      <c r="G19" s="956" t="str">
        <f>CONCATENATE("Amount of ",I2-1," Ad Valorem Tax")</f>
        <v>Amount of -1 Ad Valorem Tax</v>
      </c>
      <c r="H19" s="84" t="s">
        <v>578</v>
      </c>
      <c r="J19" s="949" t="str">
        <f>CONCATENATE("Want The Mill Rate The Same As For ",I2-1,"?")</f>
        <v>Want The Mill Rate The Same As For -1?</v>
      </c>
      <c r="K19" s="952"/>
      <c r="L19" s="952"/>
      <c r="M19" s="953"/>
    </row>
    <row r="20" spans="1:13" ht="15.75">
      <c r="A20" s="460" t="s">
        <v>42</v>
      </c>
      <c r="B20" s="86" t="s">
        <v>43</v>
      </c>
      <c r="C20" s="86" t="s">
        <v>138</v>
      </c>
      <c r="D20" s="86" t="s">
        <v>43</v>
      </c>
      <c r="E20" s="86" t="s">
        <v>138</v>
      </c>
      <c r="F20" s="86" t="s">
        <v>564</v>
      </c>
      <c r="G20" s="957"/>
      <c r="H20" s="86" t="s">
        <v>138</v>
      </c>
      <c r="J20" s="428"/>
      <c r="K20" s="423"/>
      <c r="L20" s="423"/>
      <c r="M20" s="429"/>
    </row>
    <row r="21" spans="1:13" ht="15.75">
      <c r="A21" s="44" t="s">
        <v>4</v>
      </c>
      <c r="B21" s="122" t="str">
        <f>IF(gen!$C$63&lt;&gt;0,gen!$C$63,"  ")</f>
        <v>  </v>
      </c>
      <c r="C21" s="420" t="str">
        <f>IF(inputPrYr!D55&gt;0,inputPrYr!D55,"  ")</f>
        <v>  </v>
      </c>
      <c r="D21" s="122" t="str">
        <f>IF(gen!$D$63&lt;&gt;0,gen!$D$63,"  ")</f>
        <v>  </v>
      </c>
      <c r="E21" s="420" t="str">
        <f>IF(inputOth!D32&gt;0,inputOth!D32,"  ")</f>
        <v>  </v>
      </c>
      <c r="F21" s="122" t="str">
        <f>IF(gen!$E$63&lt;&gt;0,gen!$E$63,"  ")</f>
        <v>  </v>
      </c>
      <c r="G21" s="122" t="str">
        <f>IF(gen!$E$70&lt;&gt;0,gen!$E$70,"  ")</f>
        <v>  </v>
      </c>
      <c r="H21" s="420" t="str">
        <f>IF(gen!E70&gt;0,ROUND(G21/$F$33*1000,3)," ")</f>
        <v> </v>
      </c>
      <c r="J21" s="428" t="str">
        <f>CONCATENATE("",I2-1," Mill Rate Was:")</f>
        <v>-1 Mill Rate Was:</v>
      </c>
      <c r="K21" s="423"/>
      <c r="L21" s="423"/>
      <c r="M21" s="430">
        <f>E29</f>
        <v>0</v>
      </c>
    </row>
    <row r="22" spans="1:13" ht="15.75">
      <c r="A22" s="44" t="s">
        <v>220</v>
      </c>
      <c r="B22" s="122" t="str">
        <f>IF('DebtSvs-EmployBenefit'!C35&lt;&gt;0,'DebtSvs-EmployBenefit'!C35,"  ")</f>
        <v>  </v>
      </c>
      <c r="C22" s="420" t="str">
        <f>IF(inputPrYr!D56&gt;0,inputPrYr!D56,"  ")</f>
        <v>  </v>
      </c>
      <c r="D22" s="122" t="str">
        <f>IF('DebtSvs-EmployBenefit'!D35&lt;&gt;0,'DebtSvs-EmployBenefit'!D35,"  ")</f>
        <v>  </v>
      </c>
      <c r="E22" s="420" t="str">
        <f>IF(inputOth!D33&gt;0,inputOth!D33,"  ")</f>
        <v>  </v>
      </c>
      <c r="F22" s="122" t="str">
        <f>IF('DebtSvs-EmployBenefit'!E35&lt;&gt;0,'DebtSvs-EmployBenefit'!E35,"  ")</f>
        <v>  </v>
      </c>
      <c r="G22" s="122" t="str">
        <f>IF('DebtSvs-EmployBenefit'!E42&lt;&gt;0,'DebtSvs-EmployBenefit'!E42,"  ")</f>
        <v>  </v>
      </c>
      <c r="H22" s="420" t="str">
        <f>IF('DebtSvs-EmployBenefit'!E42&gt;0,ROUND(G22/$F$33*1000,3)," ")</f>
        <v> </v>
      </c>
      <c r="J22" s="431" t="str">
        <f>CONCATENATE("",I2," Tax Levy Fund Expenditures Must Be")</f>
        <v>0 Tax Levy Fund Expenditures Must Be</v>
      </c>
      <c r="K22" s="432"/>
      <c r="L22" s="432"/>
      <c r="M22" s="429"/>
    </row>
    <row r="23" spans="1:13" ht="15.75">
      <c r="A23" s="123" t="str">
        <f>inputPrYr!B37</f>
        <v>Employee Benefits</v>
      </c>
      <c r="B23" s="122" t="str">
        <f>IF('DebtSvs-EmployBenefit'!C77&lt;&gt;0,'DebtSvs-EmployBenefit'!C77,"  ")</f>
        <v>  </v>
      </c>
      <c r="C23" s="420" t="str">
        <f>IF(inputPrYr!D57&gt;0,inputPrYr!D57,"  ")</f>
        <v>  </v>
      </c>
      <c r="D23" s="122" t="str">
        <f>IF('DebtSvs-EmployBenefit'!D77&lt;&gt;0,'DebtSvs-EmployBenefit'!D77,"  ")</f>
        <v>  </v>
      </c>
      <c r="E23" s="420" t="str">
        <f>IF(inputOth!D34&gt;0,inputOth!D34,"  ")</f>
        <v>  </v>
      </c>
      <c r="F23" s="122" t="str">
        <f>IF('DebtSvs-EmployBenefit'!E77&lt;&gt;0,'DebtSvs-EmployBenefit'!E77,"  ")</f>
        <v>  </v>
      </c>
      <c r="G23" s="122" t="str">
        <f>IF('DebtSvs-EmployBenefit'!E84&lt;&gt;0,'DebtSvs-EmployBenefit'!E84,"  ")</f>
        <v>  </v>
      </c>
      <c r="H23" s="420" t="str">
        <f>IF('DebtSvs-EmployBenefit'!E84&gt;0,ROUND(G23/$F$33*1000,3)," ")</f>
        <v> </v>
      </c>
      <c r="J23" s="431"/>
      <c r="K23" s="432"/>
      <c r="L23" s="432"/>
      <c r="M23" s="429"/>
    </row>
    <row r="24" spans="1:13" ht="15.75">
      <c r="A24" s="123" t="str">
        <f>IF(inputPrYr!$B$39&gt;"  ",inputPrYr!$B$39,"  ")</f>
        <v>  </v>
      </c>
      <c r="B24" s="122" t="str">
        <f>IF(levypage9!$C$35&lt;&gt;0,levypage9!$C$35,"  ")</f>
        <v>  </v>
      </c>
      <c r="C24" s="420" t="str">
        <f>IF(inputPrYr!D58&gt;0,inputPrYr!D58,"  ")</f>
        <v>  </v>
      </c>
      <c r="D24" s="122" t="str">
        <f>IF(levypage9!$D$35&lt;&gt;0,levypage9!$D$35,"  ")</f>
        <v>  </v>
      </c>
      <c r="E24" s="420" t="str">
        <f>IF(inputOth!D35&gt;0,inputOth!D35,"  ")</f>
        <v>  </v>
      </c>
      <c r="F24" s="122" t="str">
        <f>IF(levypage9!$E$35&lt;&gt;0,levypage9!$E$35,"  ")</f>
        <v>  </v>
      </c>
      <c r="G24" s="122" t="str">
        <f>IF(levypage9!$E$42&lt;&gt;0,levypage9!$E$42,"  ")</f>
        <v>  </v>
      </c>
      <c r="H24" s="420" t="str">
        <f>IF(levypage9!E42&gt;0,ROUND(G24/$F$33*1000,3)," ")</f>
        <v> </v>
      </c>
      <c r="J24" s="431">
        <f>IF(M24&gt;0,"Increased By:","")</f>
      </c>
      <c r="K24" s="432"/>
      <c r="L24" s="432"/>
      <c r="M24" s="433">
        <f>IF(M31&lt;0,M31*-1,0)</f>
        <v>0</v>
      </c>
    </row>
    <row r="25" spans="1:13" ht="15.75">
      <c r="A25" s="123" t="str">
        <f>IF(inputPrYr!$B$40&gt;"  ",inputPrYr!$B$40,"  ")</f>
        <v>  </v>
      </c>
      <c r="B25" s="122" t="str">
        <f>IF(levypage9!$C$77&lt;&gt;0,levypage9!$C$77,"  ")</f>
        <v>  </v>
      </c>
      <c r="C25" s="420" t="str">
        <f>IF(inputPrYr!D59&gt;0,inputPrYr!D59,"  ")</f>
        <v>  </v>
      </c>
      <c r="D25" s="122" t="str">
        <f>IF(levypage9!$D$77&lt;&gt;0,levypage9!$D$77,"  ")</f>
        <v>  </v>
      </c>
      <c r="E25" s="420" t="str">
        <f>IF(inputOth!D36&gt;0,inputOth!D36,"  ")</f>
        <v>  </v>
      </c>
      <c r="F25" s="122" t="str">
        <f>IF(levypage9!$E$77&lt;&gt;0,levypage9!$E$77,"  ")</f>
        <v>  </v>
      </c>
      <c r="G25" s="122" t="str">
        <f>IF(levypage9!$E$84&lt;&gt;0,levypage9!$E$84,"  ")</f>
        <v>  </v>
      </c>
      <c r="H25" s="420" t="str">
        <f>IF(levypage9!E84&gt;0,ROUND(G25/$F$33*1000,3)," ")</f>
        <v> </v>
      </c>
      <c r="J25" s="434">
        <f>IF(M25&lt;0,"Reduced By:","")</f>
      </c>
      <c r="K25" s="435"/>
      <c r="L25" s="435"/>
      <c r="M25" s="436">
        <f>IF(M31&gt;0,M31*-1,0)</f>
        <v>0</v>
      </c>
    </row>
    <row r="26" spans="1:13" ht="15.75">
      <c r="A26" s="123" t="str">
        <f>IF(inputPrYr!$B$43&gt;"  ",inputPrYr!$B$43,"  ")</f>
        <v>  </v>
      </c>
      <c r="B26" s="122" t="str">
        <f>IF(nolevypage10!$C$31&lt;&gt;0,nolevypage10!$C$31,"  ")</f>
        <v>  </v>
      </c>
      <c r="C26" s="420"/>
      <c r="D26" s="122" t="str">
        <f>IF(nolevypage10!$D$31&lt;&gt;0,nolevypage10!$D$31,"  ")</f>
        <v>  </v>
      </c>
      <c r="E26" s="420"/>
      <c r="F26" s="122" t="str">
        <f>IF(nolevypage10!$E$31&lt;&gt;0,nolevypage10!$E$31,"  ")</f>
        <v>  </v>
      </c>
      <c r="G26" s="122"/>
      <c r="H26" s="420"/>
      <c r="J26" s="437"/>
      <c r="K26" s="437"/>
      <c r="L26" s="437"/>
      <c r="M26" s="437"/>
    </row>
    <row r="27" spans="1:13" ht="15.75">
      <c r="A27" s="123" t="str">
        <f>IF(inputPrYr!$B$44&gt;"  ",inputPrYr!$B$44,"  ")</f>
        <v>  </v>
      </c>
      <c r="B27" s="122" t="str">
        <f>IF(nolevypage10!$C$64&lt;&gt;0,nolevypage10!$C$64,"  ")</f>
        <v>  </v>
      </c>
      <c r="C27" s="420"/>
      <c r="D27" s="122" t="str">
        <f>IF(nolevypage10!$D$64&lt;&gt;0,nolevypage10!$D$64,"  ")</f>
        <v>  </v>
      </c>
      <c r="E27" s="420"/>
      <c r="F27" s="122" t="str">
        <f>IF(nolevypage10!$E$64&lt;&gt;0,nolevypage10!$E$64,"  ")</f>
        <v>  </v>
      </c>
      <c r="G27" s="122"/>
      <c r="H27" s="420"/>
      <c r="J27" s="949" t="str">
        <f>CONCATENATE("Impact On Keeping The Same Mill Rate As For ",I2-1,"")</f>
        <v>Impact On Keeping The Same Mill Rate As For -1</v>
      </c>
      <c r="K27" s="954"/>
      <c r="L27" s="954"/>
      <c r="M27" s="955"/>
    </row>
    <row r="28" spans="1:13" ht="15.75">
      <c r="A28" s="127">
        <f>IF((inputPrYr!$B$47&gt;" "),(NonBudpage11!$A$3),"")</f>
      </c>
      <c r="B28" s="122">
        <f>IF(NonBudpage11!K28&gt;0,NonBudpage11!K28,"")</f>
      </c>
      <c r="C28" s="420"/>
      <c r="D28" s="122"/>
      <c r="E28" s="420"/>
      <c r="F28" s="122"/>
      <c r="G28" s="122"/>
      <c r="H28" s="420"/>
      <c r="J28" s="428"/>
      <c r="K28" s="423"/>
      <c r="L28" s="423"/>
      <c r="M28" s="429"/>
    </row>
    <row r="29" spans="1:13" ht="15.75">
      <c r="A29" s="31" t="s">
        <v>112</v>
      </c>
      <c r="B29" s="142">
        <f>SUM(B21:B28)</f>
        <v>0</v>
      </c>
      <c r="C29" s="421">
        <f aca="true" t="shared" si="0" ref="C29:H29">SUM(C21:C27)</f>
        <v>0</v>
      </c>
      <c r="D29" s="142">
        <f t="shared" si="0"/>
        <v>0</v>
      </c>
      <c r="E29" s="421">
        <f t="shared" si="0"/>
        <v>0</v>
      </c>
      <c r="F29" s="142">
        <f t="shared" si="0"/>
        <v>0</v>
      </c>
      <c r="G29" s="142">
        <f t="shared" si="0"/>
        <v>0</v>
      </c>
      <c r="H29" s="421">
        <f t="shared" si="0"/>
        <v>0</v>
      </c>
      <c r="J29" s="428" t="str">
        <f>CONCATENATE("",I2," Ad Valorem Tax Revenue:")</f>
        <v>0 Ad Valorem Tax Revenue:</v>
      </c>
      <c r="K29" s="423"/>
      <c r="L29" s="423"/>
      <c r="M29" s="424">
        <f>G29</f>
        <v>0</v>
      </c>
    </row>
    <row r="30" spans="1:13" ht="15.75">
      <c r="A30" s="31" t="s">
        <v>141</v>
      </c>
      <c r="B30" s="122">
        <f>transfers!C26</f>
        <v>0</v>
      </c>
      <c r="C30" s="129"/>
      <c r="D30" s="122">
        <f>transfers!D26</f>
        <v>0</v>
      </c>
      <c r="E30" s="129"/>
      <c r="F30" s="38">
        <f>transfers!E26</f>
        <v>0</v>
      </c>
      <c r="G30" s="219"/>
      <c r="H30" s="262"/>
      <c r="J30" s="428" t="str">
        <f>CONCATENATE("",I2-1," Ad Valorem Tax Revenue:")</f>
        <v>-1 Ad Valorem Tax Revenue:</v>
      </c>
      <c r="K30" s="423"/>
      <c r="L30" s="423"/>
      <c r="M30" s="438">
        <f>ROUND(F33*M21/1000,0)</f>
        <v>0</v>
      </c>
    </row>
    <row r="31" spans="1:13" ht="16.5" thickBot="1">
      <c r="A31" s="31" t="s">
        <v>142</v>
      </c>
      <c r="B31" s="42">
        <f>SUM(B29-B30)</f>
        <v>0</v>
      </c>
      <c r="C31" s="263"/>
      <c r="D31" s="42">
        <f>SUM(D29-D30)</f>
        <v>0</v>
      </c>
      <c r="E31" s="263"/>
      <c r="F31" s="39">
        <f>SUM(F29-F30)</f>
        <v>0</v>
      </c>
      <c r="G31" s="219"/>
      <c r="H31" s="262"/>
      <c r="J31" s="439" t="s">
        <v>574</v>
      </c>
      <c r="K31" s="440"/>
      <c r="L31" s="440"/>
      <c r="M31" s="427">
        <f>M29-M30</f>
        <v>0</v>
      </c>
    </row>
    <row r="32" spans="1:13" ht="16.5" thickTop="1">
      <c r="A32" s="31" t="s">
        <v>44</v>
      </c>
      <c r="B32" s="121">
        <f>inputPrYr!E63</f>
        <v>0</v>
      </c>
      <c r="C32" s="201"/>
      <c r="D32" s="121">
        <f>inputPrYr!E41</f>
        <v>0</v>
      </c>
      <c r="E32" s="201"/>
      <c r="F32" s="546" t="s">
        <v>20</v>
      </c>
      <c r="G32" s="19"/>
      <c r="H32" s="19"/>
      <c r="J32" s="441"/>
      <c r="K32" s="441"/>
      <c r="L32" s="441"/>
      <c r="M32" s="437"/>
    </row>
    <row r="33" spans="1:13" ht="16.5" thickBot="1">
      <c r="A33" s="31" t="s">
        <v>143</v>
      </c>
      <c r="B33" s="419">
        <f>inputPrYr!E64</f>
        <v>0</v>
      </c>
      <c r="C33" s="201"/>
      <c r="D33" s="419">
        <f>inputOth!H26</f>
        <v>0</v>
      </c>
      <c r="E33" s="201"/>
      <c r="F33" s="419">
        <f>inputOth!C26</f>
        <v>0</v>
      </c>
      <c r="G33" s="19"/>
      <c r="H33" s="19"/>
      <c r="J33" s="949" t="s">
        <v>575</v>
      </c>
      <c r="K33" s="952"/>
      <c r="L33" s="952"/>
      <c r="M33" s="953"/>
    </row>
    <row r="34" spans="1:13" ht="16.5" thickTop="1">
      <c r="A34" s="21"/>
      <c r="B34" s="219"/>
      <c r="C34" s="22"/>
      <c r="D34" s="219"/>
      <c r="E34" s="22"/>
      <c r="F34" s="219"/>
      <c r="G34" s="19"/>
      <c r="H34" s="19"/>
      <c r="J34" s="428"/>
      <c r="K34" s="423"/>
      <c r="L34" s="423"/>
      <c r="M34" s="429"/>
    </row>
    <row r="35" spans="1:13" ht="15.75">
      <c r="A35" s="18" t="s">
        <v>46</v>
      </c>
      <c r="B35" s="19"/>
      <c r="C35" s="19"/>
      <c r="D35" s="19"/>
      <c r="E35" s="19"/>
      <c r="F35" s="19"/>
      <c r="G35" s="19"/>
      <c r="H35" s="19"/>
      <c r="J35" s="428" t="str">
        <f>CONCATENATE("Current ",I2," Estimated Mill Rate:")</f>
        <v>Current 0 Estimated Mill Rate:</v>
      </c>
      <c r="K35" s="423"/>
      <c r="L35" s="423"/>
      <c r="M35" s="430">
        <f>H29</f>
        <v>0</v>
      </c>
    </row>
    <row r="36" spans="1:13" ht="15.75">
      <c r="A36" s="18" t="s">
        <v>144</v>
      </c>
      <c r="B36" s="102">
        <f>I2-3</f>
        <v>-3</v>
      </c>
      <c r="C36" s="19"/>
      <c r="D36" s="102">
        <f>I2-2</f>
        <v>-2</v>
      </c>
      <c r="E36" s="19"/>
      <c r="F36" s="102">
        <f>I2-1</f>
        <v>-1</v>
      </c>
      <c r="G36" s="19"/>
      <c r="H36" s="19"/>
      <c r="J36" s="428" t="str">
        <f>CONCATENATE("Desired ",I2," Mill Rate:")</f>
        <v>Desired 0 Mill Rate:</v>
      </c>
      <c r="K36" s="423"/>
      <c r="L36" s="423"/>
      <c r="M36" s="442">
        <v>0</v>
      </c>
    </row>
    <row r="37" spans="1:13" ht="15.75">
      <c r="A37" s="18" t="s">
        <v>47</v>
      </c>
      <c r="B37" s="264">
        <f>inputPrYr!D67</f>
        <v>0</v>
      </c>
      <c r="C37" s="153"/>
      <c r="D37" s="264">
        <f>inputPrYr!E67</f>
        <v>0</v>
      </c>
      <c r="E37" s="19"/>
      <c r="F37" s="264">
        <f>debt!F12</f>
        <v>0</v>
      </c>
      <c r="G37" s="19"/>
      <c r="H37" s="19"/>
      <c r="J37" s="428" t="str">
        <f>CONCATENATE("",I2," Ad Valorem Tax:")</f>
        <v>0 Ad Valorem Tax:</v>
      </c>
      <c r="K37" s="423"/>
      <c r="L37" s="423"/>
      <c r="M37" s="438">
        <f>ROUND(F33*M36/1000,0)</f>
        <v>0</v>
      </c>
    </row>
    <row r="38" spans="1:13" ht="15.75">
      <c r="A38" s="19" t="s">
        <v>48</v>
      </c>
      <c r="B38" s="264">
        <f>inputPrYr!D68</f>
        <v>0</v>
      </c>
      <c r="C38" s="19"/>
      <c r="D38" s="264">
        <f>inputPrYr!E68</f>
        <v>0</v>
      </c>
      <c r="E38" s="19"/>
      <c r="F38" s="264">
        <f>debt!F16</f>
        <v>0</v>
      </c>
      <c r="G38" s="19"/>
      <c r="H38" s="19"/>
      <c r="J38" s="439" t="str">
        <f>CONCATENATE("",I2," Tax Levy Fund Exp. Changed By:")</f>
        <v>0 Tax Levy Fund Exp. Changed By:</v>
      </c>
      <c r="K38" s="440"/>
      <c r="L38" s="440"/>
      <c r="M38" s="427">
        <f>IF(M36=0,0,(M37-G29))</f>
        <v>0</v>
      </c>
    </row>
    <row r="39" spans="1:8" ht="15.75">
      <c r="A39" s="18" t="s">
        <v>152</v>
      </c>
      <c r="B39" s="264">
        <f>inputPrYr!D69</f>
        <v>0</v>
      </c>
      <c r="C39" s="153"/>
      <c r="D39" s="264">
        <f>inputPrYr!E69</f>
        <v>0</v>
      </c>
      <c r="E39" s="19"/>
      <c r="F39" s="264">
        <f>debt!F20</f>
        <v>0</v>
      </c>
      <c r="G39" s="19"/>
      <c r="H39" s="19"/>
    </row>
    <row r="40" spans="1:8" ht="15.75">
      <c r="A40" s="18" t="s">
        <v>113</v>
      </c>
      <c r="B40" s="264">
        <f>inputPrYr!D70</f>
        <v>0</v>
      </c>
      <c r="C40" s="19"/>
      <c r="D40" s="264">
        <f>inputPrYr!E70</f>
        <v>0</v>
      </c>
      <c r="E40" s="19"/>
      <c r="F40" s="264">
        <f>debt!G41</f>
        <v>0</v>
      </c>
      <c r="G40" s="19"/>
      <c r="H40" s="19"/>
    </row>
    <row r="41" spans="1:8" ht="16.5" thickBot="1">
      <c r="A41" s="223" t="s">
        <v>49</v>
      </c>
      <c r="B41" s="265">
        <f>SUM(B37:B40)</f>
        <v>0</v>
      </c>
      <c r="C41" s="19"/>
      <c r="D41" s="265">
        <f>SUM(D37:D40)</f>
        <v>0</v>
      </c>
      <c r="E41" s="19"/>
      <c r="F41" s="265">
        <f>SUM(F37:F40)</f>
        <v>0</v>
      </c>
      <c r="G41" s="266"/>
      <c r="H41" s="90"/>
    </row>
    <row r="42" spans="1:8" ht="16.5" thickTop="1">
      <c r="A42" s="223" t="s">
        <v>50</v>
      </c>
      <c r="B42" s="19"/>
      <c r="C42" s="19"/>
      <c r="D42" s="19"/>
      <c r="E42" s="207"/>
      <c r="F42" s="207"/>
      <c r="G42" s="19"/>
      <c r="H42" s="90"/>
    </row>
    <row r="43" spans="1:8" ht="15.75">
      <c r="A43" s="90"/>
      <c r="B43" s="19"/>
      <c r="C43" s="19"/>
      <c r="D43" s="19"/>
      <c r="E43" s="19"/>
      <c r="F43" s="19"/>
      <c r="G43" s="19"/>
      <c r="H43" s="90"/>
    </row>
    <row r="44" spans="1:8" ht="15.75">
      <c r="A44" s="53"/>
      <c r="B44" s="19"/>
      <c r="C44" s="19"/>
      <c r="D44" s="19"/>
      <c r="E44" s="19"/>
      <c r="F44" s="19"/>
      <c r="G44" s="19"/>
      <c r="H44" s="53"/>
    </row>
    <row r="45" spans="1:8" ht="15.75">
      <c r="A45" s="946">
        <f>inputBudSum!B3</f>
        <v>0</v>
      </c>
      <c r="B45" s="947"/>
      <c r="C45" s="103"/>
      <c r="D45" s="19"/>
      <c r="E45" s="19"/>
      <c r="F45" s="19"/>
      <c r="G45" s="19"/>
      <c r="H45" s="90"/>
    </row>
    <row r="46" spans="1:8" ht="15.75">
      <c r="A46" s="944">
        <f>inputBudSum!B5</f>
        <v>0</v>
      </c>
      <c r="B46" s="869"/>
      <c r="C46" s="19"/>
      <c r="D46" s="152" t="s">
        <v>36</v>
      </c>
      <c r="E46" s="748"/>
      <c r="F46" s="19"/>
      <c r="G46" s="19"/>
      <c r="H46" s="90"/>
    </row>
    <row r="48" spans="1:8" ht="15.75">
      <c r="A48" s="17"/>
      <c r="B48" s="17"/>
      <c r="C48" s="17"/>
      <c r="D48" s="17"/>
      <c r="E48" s="17"/>
      <c r="F48" s="17"/>
      <c r="G48" s="17"/>
      <c r="H48" s="17"/>
    </row>
    <row r="50" spans="1:8" ht="15.75">
      <c r="A50" s="17"/>
      <c r="B50" s="17"/>
      <c r="C50" s="17"/>
      <c r="D50" s="17"/>
      <c r="E50" s="17"/>
      <c r="F50" s="17"/>
      <c r="G50" s="17"/>
      <c r="H50" s="17"/>
    </row>
    <row r="51" spans="1:8" ht="15.75">
      <c r="A51" s="17"/>
      <c r="B51" s="17"/>
      <c r="C51" s="17"/>
      <c r="D51" s="17"/>
      <c r="E51" s="17"/>
      <c r="F51" s="17"/>
      <c r="G51" s="17"/>
      <c r="H51" s="17"/>
    </row>
    <row r="52" spans="1:8" ht="15.75">
      <c r="A52" s="17"/>
      <c r="B52" s="17"/>
      <c r="C52" s="17"/>
      <c r="D52" s="17"/>
      <c r="E52" s="17"/>
      <c r="F52" s="17"/>
      <c r="G52" s="17"/>
      <c r="H52" s="17"/>
    </row>
    <row r="53" spans="1:8" ht="15.75">
      <c r="A53" s="17"/>
      <c r="B53" s="17"/>
      <c r="C53" s="17"/>
      <c r="D53" s="17"/>
      <c r="E53" s="17"/>
      <c r="F53" s="17"/>
      <c r="G53" s="17"/>
      <c r="H53" s="17"/>
    </row>
    <row r="54" spans="1:8" ht="15.75">
      <c r="A54" s="17"/>
      <c r="B54" s="17"/>
      <c r="C54" s="17"/>
      <c r="D54" s="17"/>
      <c r="E54" s="17"/>
      <c r="F54" s="17"/>
      <c r="G54" s="17"/>
      <c r="H54" s="17"/>
    </row>
    <row r="55" spans="1:8" ht="15.75">
      <c r="A55" s="17"/>
      <c r="B55" s="17"/>
      <c r="C55" s="17"/>
      <c r="D55" s="17"/>
      <c r="E55" s="17"/>
      <c r="F55" s="17"/>
      <c r="G55" s="17"/>
      <c r="H55" s="17"/>
    </row>
    <row r="56" spans="1:8" ht="15.75">
      <c r="A56" s="17"/>
      <c r="B56" s="17"/>
      <c r="C56" s="17"/>
      <c r="D56" s="17"/>
      <c r="E56" s="17"/>
      <c r="F56" s="17"/>
      <c r="G56" s="17"/>
      <c r="H56" s="17"/>
    </row>
    <row r="57" spans="1:8" ht="15.75">
      <c r="A57" s="17"/>
      <c r="B57" s="17"/>
      <c r="C57" s="17"/>
      <c r="D57" s="17"/>
      <c r="E57" s="17"/>
      <c r="F57" s="17"/>
      <c r="G57" s="17"/>
      <c r="H57" s="17"/>
    </row>
    <row r="58" spans="1:8" ht="15.75">
      <c r="A58" s="17"/>
      <c r="B58" s="17"/>
      <c r="C58" s="17"/>
      <c r="D58" s="17"/>
      <c r="E58" s="17"/>
      <c r="F58" s="17"/>
      <c r="G58" s="17"/>
      <c r="H58" s="17"/>
    </row>
  </sheetData>
  <sheetProtection sheet="1"/>
  <mergeCells count="17">
    <mergeCell ref="J15:M15"/>
    <mergeCell ref="J19:M19"/>
    <mergeCell ref="J27:M27"/>
    <mergeCell ref="J33:M33"/>
    <mergeCell ref="G19:G20"/>
    <mergeCell ref="A2:H2"/>
    <mergeCell ref="A3:H3"/>
    <mergeCell ref="A9:H9"/>
    <mergeCell ref="A10:H10"/>
    <mergeCell ref="A12:H12"/>
    <mergeCell ref="A14:H14"/>
    <mergeCell ref="A46:B46"/>
    <mergeCell ref="A4:H4"/>
    <mergeCell ref="A5:H5"/>
    <mergeCell ref="A45:B45"/>
    <mergeCell ref="A1:H1"/>
    <mergeCell ref="A11:H11"/>
  </mergeCells>
  <printOptions/>
  <pageMargins left="1" right="1" top="0.5" bottom="0.5" header="0.5" footer="0.5"/>
  <pageSetup blackAndWhite="1" fitToHeight="1" fitToWidth="1" horizontalDpi="120" verticalDpi="120" orientation="portrait" scale="68"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R101" sqref="R101"/>
    </sheetView>
  </sheetViews>
  <sheetFormatPr defaultColWidth="8.796875" defaultRowHeight="15"/>
  <cols>
    <col min="1" max="1" width="10.8984375" style="54" customWidth="1"/>
    <col min="2" max="2" width="22.09765625" style="54" customWidth="1"/>
    <col min="3" max="5" width="11.796875" style="54" customWidth="1"/>
    <col min="6" max="16384" width="8.8984375" style="54" customWidth="1"/>
  </cols>
  <sheetData>
    <row r="1" spans="1:6" ht="15.75">
      <c r="A1" s="267">
        <f>inputPrYr!D3</f>
        <v>0</v>
      </c>
      <c r="B1" s="90"/>
      <c r="C1" s="90"/>
      <c r="D1" s="90"/>
      <c r="E1" s="90"/>
      <c r="F1" s="90">
        <f>inputPrYr!D22</f>
        <v>0</v>
      </c>
    </row>
    <row r="2" spans="1:6" ht="15.75">
      <c r="A2" s="267"/>
      <c r="B2" s="90"/>
      <c r="C2" s="90"/>
      <c r="D2" s="90"/>
      <c r="E2" s="90"/>
      <c r="F2" s="90"/>
    </row>
    <row r="3" spans="1:6" ht="15.75">
      <c r="A3" s="90"/>
      <c r="B3" s="90"/>
      <c r="C3" s="90"/>
      <c r="D3" s="90"/>
      <c r="E3" s="90"/>
      <c r="F3" s="90"/>
    </row>
    <row r="4" spans="1:6" ht="15.75">
      <c r="A4" s="19"/>
      <c r="B4" s="885" t="str">
        <f>CONCATENATE("",F1," Neighborhood Revitalization Rebate")</f>
        <v>0 Neighborhood Revitalization Rebate</v>
      </c>
      <c r="C4" s="962"/>
      <c r="D4" s="962"/>
      <c r="E4" s="840"/>
      <c r="F4" s="90"/>
    </row>
    <row r="5" spans="1:6" ht="15.75">
      <c r="A5" s="19"/>
      <c r="B5" s="19"/>
      <c r="C5" s="19"/>
      <c r="D5" s="19"/>
      <c r="E5" s="19"/>
      <c r="F5" s="90"/>
    </row>
    <row r="6" spans="1:6" ht="51.75" customHeight="1">
      <c r="A6" s="19"/>
      <c r="B6" s="106" t="str">
        <f>CONCATENATE("Budgeted Funds                         for ",F1,"")</f>
        <v>Budgeted Funds                         for 0</v>
      </c>
      <c r="C6" s="106" t="str">
        <f>CONCATENATE("",F1-1," Ad Valorem before Rebate**")</f>
        <v>-1 Ad Valorem before Rebate**</v>
      </c>
      <c r="D6" s="268" t="str">
        <f>CONCATENATE("",F1-1," Mil Rate before Rebate")</f>
        <v>-1 Mil Rate before Rebate</v>
      </c>
      <c r="E6" s="269" t="str">
        <f>CONCATENATE("Estimate ",F1," NR Rebate")</f>
        <v>Estimate 0 NR Rebate</v>
      </c>
      <c r="F6" s="90"/>
    </row>
    <row r="7" spans="1:6" ht="15.75">
      <c r="A7" s="19"/>
      <c r="B7" s="270" t="str">
        <f>inputPrYr!B35</f>
        <v>General</v>
      </c>
      <c r="C7" s="271"/>
      <c r="D7" s="272">
        <f aca="true" t="shared" si="0" ref="D7:D12">IF(C7&gt;0,C7/$D$18,"")</f>
      </c>
      <c r="E7" s="120">
        <f aca="true" t="shared" si="1" ref="E7:E12">IF(C7&gt;0,ROUND(D7*$D$22,0),0)</f>
        <v>0</v>
      </c>
      <c r="F7" s="90"/>
    </row>
    <row r="8" spans="1:6" ht="15.75">
      <c r="A8" s="19"/>
      <c r="B8" s="270" t="str">
        <f>inputPrYr!B36</f>
        <v>Debt Service</v>
      </c>
      <c r="C8" s="271"/>
      <c r="D8" s="272">
        <f t="shared" si="0"/>
      </c>
      <c r="E8" s="120">
        <f t="shared" si="1"/>
        <v>0</v>
      </c>
      <c r="F8" s="90"/>
    </row>
    <row r="9" spans="1:6" ht="15.75">
      <c r="A9" s="19"/>
      <c r="B9" s="126" t="str">
        <f>IF(inputPrYr!$B37&gt;"  ",(inputPrYr!$B37),"  ")</f>
        <v>Employee Benefits</v>
      </c>
      <c r="C9" s="271"/>
      <c r="D9" s="272">
        <f t="shared" si="0"/>
      </c>
      <c r="E9" s="120">
        <f t="shared" si="1"/>
        <v>0</v>
      </c>
      <c r="F9" s="90"/>
    </row>
    <row r="10" spans="1:6" ht="15.75">
      <c r="A10" s="19"/>
      <c r="B10" s="126" t="str">
        <f>IF(inputPrYr!$B39&gt;"  ",(inputPrYr!$B39),"  ")</f>
        <v>  </v>
      </c>
      <c r="C10" s="271"/>
      <c r="D10" s="272">
        <f>IF(C10&gt;0,C10/$D$18,"")</f>
      </c>
      <c r="E10" s="120">
        <f t="shared" si="1"/>
        <v>0</v>
      </c>
      <c r="F10" s="90"/>
    </row>
    <row r="11" spans="1:6" ht="15.75">
      <c r="A11" s="19"/>
      <c r="B11" s="126" t="str">
        <f>IF(inputPrYr!$B40&gt;"  ",(inputPrYr!$B40),"  ")</f>
        <v>  </v>
      </c>
      <c r="C11" s="271"/>
      <c r="D11" s="272">
        <f>IF(C11&gt;0,C11/$D$18,"")</f>
      </c>
      <c r="E11" s="120">
        <f t="shared" si="1"/>
        <v>0</v>
      </c>
      <c r="F11" s="90"/>
    </row>
    <row r="12" spans="1:6" ht="15.75">
      <c r="A12" s="19"/>
      <c r="B12" s="126"/>
      <c r="C12" s="271"/>
      <c r="D12" s="272">
        <f t="shared" si="0"/>
      </c>
      <c r="E12" s="120">
        <f t="shared" si="1"/>
        <v>0</v>
      </c>
      <c r="F12" s="90"/>
    </row>
    <row r="13" spans="1:6" ht="16.5" thickBot="1">
      <c r="A13" s="19"/>
      <c r="B13" s="44" t="s">
        <v>160</v>
      </c>
      <c r="C13" s="273">
        <f>SUM(C7:C12)</f>
        <v>0</v>
      </c>
      <c r="D13" s="274">
        <f>SUM(D7:D12)</f>
        <v>0</v>
      </c>
      <c r="E13" s="273">
        <f>SUM(E7:E12)</f>
        <v>0</v>
      </c>
      <c r="F13" s="90"/>
    </row>
    <row r="14" spans="1:6" ht="16.5" thickTop="1">
      <c r="A14" s="19"/>
      <c r="B14" s="19"/>
      <c r="C14" s="19"/>
      <c r="D14" s="19"/>
      <c r="E14" s="19"/>
      <c r="F14" s="90"/>
    </row>
    <row r="15" spans="1:6" ht="15.75">
      <c r="A15" s="19"/>
      <c r="B15" s="19"/>
      <c r="C15" s="19"/>
      <c r="D15" s="19"/>
      <c r="E15" s="19"/>
      <c r="F15" s="90"/>
    </row>
    <row r="16" spans="1:6" ht="15.75">
      <c r="A16" s="883" t="str">
        <f>CONCATENATE("",F1-1," July 1 Valuation:")</f>
        <v>-1 July 1 Valuation:</v>
      </c>
      <c r="B16" s="961"/>
      <c r="C16" s="883"/>
      <c r="D16" s="275">
        <f>inputOth!C26</f>
        <v>0</v>
      </c>
      <c r="E16" s="19"/>
      <c r="F16" s="90"/>
    </row>
    <row r="17" spans="1:6" ht="15.75">
      <c r="A17" s="19"/>
      <c r="B17" s="19"/>
      <c r="C17" s="19"/>
      <c r="D17" s="19"/>
      <c r="E17" s="19"/>
      <c r="F17" s="90"/>
    </row>
    <row r="18" spans="1:6" ht="15.75">
      <c r="A18" s="19"/>
      <c r="B18" s="883" t="s">
        <v>249</v>
      </c>
      <c r="C18" s="883"/>
      <c r="D18" s="276">
        <f>IF(D16&gt;0,(D16*0.001),"")</f>
      </c>
      <c r="E18" s="19"/>
      <c r="F18" s="90"/>
    </row>
    <row r="19" spans="1:6" ht="15.75">
      <c r="A19" s="19"/>
      <c r="B19" s="152"/>
      <c r="C19" s="152"/>
      <c r="D19" s="277"/>
      <c r="E19" s="19"/>
      <c r="F19" s="90"/>
    </row>
    <row r="20" spans="1:6" ht="15.75">
      <c r="A20" s="960" t="s">
        <v>247</v>
      </c>
      <c r="B20" s="840"/>
      <c r="C20" s="840"/>
      <c r="D20" s="278">
        <f>inputOth!E28</f>
        <v>0</v>
      </c>
      <c r="E20" s="55"/>
      <c r="F20" s="55"/>
    </row>
    <row r="21" spans="1:6" ht="15">
      <c r="A21" s="55"/>
      <c r="B21" s="55"/>
      <c r="C21" s="55"/>
      <c r="D21" s="279"/>
      <c r="E21" s="55"/>
      <c r="F21" s="55"/>
    </row>
    <row r="22" spans="1:6" ht="15.75">
      <c r="A22" s="55"/>
      <c r="B22" s="960" t="s">
        <v>248</v>
      </c>
      <c r="C22" s="961"/>
      <c r="D22" s="280">
        <f>IF(D20&gt;0,(D20*0.001),"")</f>
      </c>
      <c r="E22" s="55"/>
      <c r="F22" s="55"/>
    </row>
    <row r="23" spans="1:6" ht="15">
      <c r="A23" s="55"/>
      <c r="B23" s="55"/>
      <c r="C23" s="55"/>
      <c r="D23" s="55"/>
      <c r="E23" s="55"/>
      <c r="F23" s="55"/>
    </row>
    <row r="24" spans="1:6" ht="15">
      <c r="A24" s="55"/>
      <c r="B24" s="55"/>
      <c r="C24" s="55"/>
      <c r="D24" s="55"/>
      <c r="E24" s="55"/>
      <c r="F24" s="55"/>
    </row>
    <row r="25" spans="1:6" ht="15">
      <c r="A25" s="55"/>
      <c r="B25" s="55"/>
      <c r="C25" s="55"/>
      <c r="D25" s="55"/>
      <c r="E25" s="55"/>
      <c r="F25" s="55"/>
    </row>
    <row r="26" spans="1:6" ht="15.75">
      <c r="A26" s="313" t="str">
        <f>CONCATENATE("**This information comes from the ",F1," Budget Summary page.  See instructions tab #13 for completing")</f>
        <v>**This information comes from the 0 Budget Summary page.  See instructions tab #13 for completing</v>
      </c>
      <c r="B26" s="55"/>
      <c r="C26" s="55"/>
      <c r="D26" s="55"/>
      <c r="E26" s="55"/>
      <c r="F26" s="55"/>
    </row>
    <row r="27" spans="1:6" ht="15.75">
      <c r="A27" s="313" t="s">
        <v>465</v>
      </c>
      <c r="B27" s="55"/>
      <c r="C27" s="55"/>
      <c r="D27" s="55"/>
      <c r="E27" s="55"/>
      <c r="F27" s="55"/>
    </row>
    <row r="28" spans="1:6" ht="15.75">
      <c r="A28" s="313"/>
      <c r="B28" s="55"/>
      <c r="C28" s="55"/>
      <c r="D28" s="55"/>
      <c r="E28" s="55"/>
      <c r="F28" s="55"/>
    </row>
    <row r="29" spans="1:6" ht="15.75">
      <c r="A29" s="313"/>
      <c r="B29" s="55"/>
      <c r="C29" s="55"/>
      <c r="D29" s="55"/>
      <c r="E29" s="55"/>
      <c r="F29" s="55"/>
    </row>
    <row r="30" spans="1:6" ht="15.75">
      <c r="A30" s="313"/>
      <c r="B30" s="55"/>
      <c r="C30" s="55"/>
      <c r="D30" s="55"/>
      <c r="E30" s="55"/>
      <c r="F30" s="55"/>
    </row>
    <row r="31" spans="1:6" ht="15.75">
      <c r="A31" s="313"/>
      <c r="B31" s="55"/>
      <c r="C31" s="55"/>
      <c r="D31" s="55"/>
      <c r="E31" s="55"/>
      <c r="F31" s="55"/>
    </row>
    <row r="32" spans="1:6" ht="15.75">
      <c r="A32" s="313"/>
      <c r="B32" s="55"/>
      <c r="C32" s="55"/>
      <c r="D32" s="55"/>
      <c r="E32" s="55"/>
      <c r="F32" s="55"/>
    </row>
    <row r="33" spans="1:6" ht="15.75">
      <c r="A33" s="313"/>
      <c r="B33" s="55"/>
      <c r="C33" s="55"/>
      <c r="D33" s="55"/>
      <c r="E33" s="55"/>
      <c r="F33" s="55"/>
    </row>
    <row r="34" spans="1:6" ht="15.75">
      <c r="A34" s="313"/>
      <c r="B34" s="55"/>
      <c r="C34" s="55"/>
      <c r="D34" s="55"/>
      <c r="E34" s="55"/>
      <c r="F34" s="55"/>
    </row>
    <row r="35" spans="1:6" ht="15">
      <c r="A35" s="55"/>
      <c r="B35" s="55"/>
      <c r="C35" s="55"/>
      <c r="D35" s="55"/>
      <c r="E35" s="55"/>
      <c r="F35" s="55"/>
    </row>
    <row r="36" spans="1:6" ht="15.75">
      <c r="A36" s="55"/>
      <c r="B36" s="256" t="s">
        <v>36</v>
      </c>
      <c r="C36" s="749"/>
      <c r="D36" s="55"/>
      <c r="E36" s="55"/>
      <c r="F36" s="55"/>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6" r:id="rId1"/>
  <headerFooter alignWithMargins="0">
    <oddHeader>&amp;RState of Kansas
Special District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1"/>
  <sheetViews>
    <sheetView zoomScalePageLayoutView="0" workbookViewId="0" topLeftCell="A1">
      <selection activeCell="Q133" sqref="Q133"/>
    </sheetView>
  </sheetViews>
  <sheetFormatPr defaultColWidth="8.796875" defaultRowHeight="15"/>
  <cols>
    <col min="1" max="1" width="15.796875" style="17" customWidth="1"/>
    <col min="2" max="2" width="20.796875" style="17" customWidth="1"/>
    <col min="3" max="3" width="10.796875" style="17" customWidth="1"/>
    <col min="4" max="4" width="15.69921875" style="17" customWidth="1"/>
    <col min="5" max="5" width="14.19921875" style="17" customWidth="1"/>
    <col min="6" max="6" width="1.796875" style="17" customWidth="1"/>
    <col min="7" max="7" width="18.69921875" style="17" customWidth="1"/>
    <col min="8" max="16384" width="8.8984375" style="17" customWidth="1"/>
  </cols>
  <sheetData>
    <row r="1" spans="1:5" ht="15.75">
      <c r="A1" s="829" t="s">
        <v>753</v>
      </c>
      <c r="B1" s="828"/>
      <c r="C1" s="828"/>
      <c r="D1" s="828"/>
      <c r="E1" s="828"/>
    </row>
    <row r="2" spans="1:5" ht="15.75">
      <c r="A2" s="18"/>
      <c r="B2" s="19"/>
      <c r="C2" s="19"/>
      <c r="D2" s="19"/>
      <c r="E2" s="19"/>
    </row>
    <row r="3" spans="1:5" ht="15.75">
      <c r="A3" s="20" t="s">
        <v>742</v>
      </c>
      <c r="B3" s="19"/>
      <c r="C3" s="19"/>
      <c r="D3" s="762"/>
      <c r="E3" s="21"/>
    </row>
    <row r="4" spans="1:5" ht="15.75">
      <c r="A4" s="20" t="s">
        <v>751</v>
      </c>
      <c r="B4" s="19"/>
      <c r="C4" s="19"/>
      <c r="D4" s="762"/>
      <c r="E4" s="21"/>
    </row>
    <row r="5" spans="1:5" ht="15.75">
      <c r="A5" s="20" t="s">
        <v>743</v>
      </c>
      <c r="B5" s="19"/>
      <c r="C5" s="19"/>
      <c r="D5" s="765"/>
      <c r="E5" s="21"/>
    </row>
    <row r="6" spans="1:5" ht="15.75">
      <c r="A6" s="21">
        <v>1</v>
      </c>
      <c r="B6" s="22"/>
      <c r="C6" s="22"/>
      <c r="D6" s="762"/>
      <c r="E6" s="21"/>
    </row>
    <row r="7" spans="1:5" ht="15.75">
      <c r="A7" s="18">
        <v>2</v>
      </c>
      <c r="B7" s="19"/>
      <c r="C7" s="19"/>
      <c r="D7" s="767"/>
      <c r="E7" s="21"/>
    </row>
    <row r="8" spans="1:5" ht="15.75">
      <c r="A8" s="18">
        <v>3</v>
      </c>
      <c r="B8" s="19"/>
      <c r="C8" s="19"/>
      <c r="D8" s="767"/>
      <c r="E8" s="21"/>
    </row>
    <row r="9" spans="1:5" ht="15.75">
      <c r="A9" s="18">
        <v>4</v>
      </c>
      <c r="B9" s="19"/>
      <c r="C9" s="19"/>
      <c r="D9" s="767"/>
      <c r="E9" s="21"/>
    </row>
    <row r="10" spans="1:5" ht="15.75">
      <c r="A10" s="18">
        <v>5</v>
      </c>
      <c r="B10" s="19"/>
      <c r="C10" s="19"/>
      <c r="D10" s="767"/>
      <c r="E10" s="19"/>
    </row>
    <row r="11" spans="1:5" ht="15.75">
      <c r="A11" s="18">
        <v>6</v>
      </c>
      <c r="B11" s="19"/>
      <c r="C11" s="19"/>
      <c r="D11" s="767"/>
      <c r="E11" s="19"/>
    </row>
    <row r="12" spans="1:5" ht="15.75">
      <c r="A12" s="18">
        <v>7</v>
      </c>
      <c r="B12" s="19"/>
      <c r="C12" s="19"/>
      <c r="D12" s="767"/>
      <c r="E12" s="19"/>
    </row>
    <row r="13" spans="1:5" ht="15.75">
      <c r="A13" s="18">
        <v>8</v>
      </c>
      <c r="B13" s="19"/>
      <c r="C13" s="19"/>
      <c r="D13" s="767"/>
      <c r="E13" s="19"/>
    </row>
    <row r="14" spans="1:5" ht="15.75">
      <c r="A14" s="18">
        <v>9</v>
      </c>
      <c r="B14" s="19"/>
      <c r="C14" s="19"/>
      <c r="D14" s="767"/>
      <c r="E14" s="19"/>
    </row>
    <row r="15" spans="1:5" ht="15.75">
      <c r="A15" s="18">
        <v>10</v>
      </c>
      <c r="B15" s="19"/>
      <c r="C15" s="19"/>
      <c r="D15" s="767"/>
      <c r="E15" s="19"/>
    </row>
    <row r="16" spans="1:5" ht="15.75">
      <c r="A16" s="18">
        <v>11</v>
      </c>
      <c r="B16" s="19"/>
      <c r="C16" s="19"/>
      <c r="D16" s="767"/>
      <c r="E16" s="19"/>
    </row>
    <row r="17" spans="1:5" ht="15.75">
      <c r="A17" s="18">
        <v>12</v>
      </c>
      <c r="B17" s="19"/>
      <c r="C17" s="19"/>
      <c r="D17" s="767"/>
      <c r="E17" s="19"/>
    </row>
    <row r="18" spans="1:5" ht="15.75">
      <c r="A18" s="18">
        <v>13</v>
      </c>
      <c r="B18" s="19"/>
      <c r="C18" s="19"/>
      <c r="D18" s="767"/>
      <c r="E18" s="19"/>
    </row>
    <row r="19" spans="1:5" ht="15.75">
      <c r="A19" s="18">
        <v>14</v>
      </c>
      <c r="B19" s="19"/>
      <c r="C19" s="19"/>
      <c r="D19" s="766"/>
      <c r="E19" s="19"/>
    </row>
    <row r="20" spans="1:5" ht="15.75">
      <c r="A20" s="18">
        <v>15</v>
      </c>
      <c r="B20" s="19"/>
      <c r="C20" s="19"/>
      <c r="D20" s="766"/>
      <c r="E20" s="19"/>
    </row>
    <row r="21" spans="1:5" ht="15.75">
      <c r="A21" s="18"/>
      <c r="B21" s="19"/>
      <c r="C21" s="19"/>
      <c r="D21" s="19"/>
      <c r="E21" s="19"/>
    </row>
    <row r="22" spans="1:5" ht="15.75">
      <c r="A22" s="20" t="s">
        <v>750</v>
      </c>
      <c r="B22" s="24"/>
      <c r="C22" s="19"/>
      <c r="D22" s="25"/>
      <c r="E22" s="19"/>
    </row>
    <row r="23" spans="1:5" ht="15.75">
      <c r="A23" s="19"/>
      <c r="B23" s="19"/>
      <c r="C23" s="19"/>
      <c r="D23" s="19"/>
      <c r="E23" s="19"/>
    </row>
    <row r="24" spans="1:5" ht="15.75">
      <c r="A24" s="832" t="s">
        <v>744</v>
      </c>
      <c r="B24" s="833"/>
      <c r="C24" s="833"/>
      <c r="D24" s="833"/>
      <c r="E24" s="833"/>
    </row>
    <row r="25" spans="1:5" ht="15.75">
      <c r="A25" s="833"/>
      <c r="B25" s="833"/>
      <c r="C25" s="833"/>
      <c r="D25" s="833"/>
      <c r="E25" s="833"/>
    </row>
    <row r="26" spans="1:8" ht="15.75" customHeight="1">
      <c r="A26" s="833"/>
      <c r="B26" s="833"/>
      <c r="C26" s="833"/>
      <c r="D26" s="833"/>
      <c r="E26" s="833"/>
      <c r="F26" s="19"/>
      <c r="G26" s="834" t="s">
        <v>746</v>
      </c>
      <c r="H26" s="835"/>
    </row>
    <row r="27" spans="1:8" ht="15.75">
      <c r="A27" s="24"/>
      <c r="B27" s="19"/>
      <c r="C27" s="19"/>
      <c r="D27" s="19"/>
      <c r="E27" s="19"/>
      <c r="F27" s="19"/>
      <c r="G27" s="836"/>
      <c r="H27" s="837"/>
    </row>
    <row r="28" spans="1:8" ht="15.75">
      <c r="A28" s="827" t="s">
        <v>745</v>
      </c>
      <c r="B28" s="828"/>
      <c r="C28" s="828"/>
      <c r="D28" s="828"/>
      <c r="E28" s="828"/>
      <c r="F28" s="19"/>
      <c r="G28" s="836"/>
      <c r="H28" s="837"/>
    </row>
    <row r="29" spans="1:8" ht="15.75">
      <c r="A29" s="27"/>
      <c r="B29" s="27"/>
      <c r="C29" s="27"/>
      <c r="D29" s="27"/>
      <c r="E29" s="27"/>
      <c r="F29" s="19"/>
      <c r="G29" s="836"/>
      <c r="H29" s="837"/>
    </row>
    <row r="30" spans="1:8" ht="15.75">
      <c r="A30" s="739" t="s">
        <v>121</v>
      </c>
      <c r="B30" s="740"/>
      <c r="C30" s="19"/>
      <c r="D30" s="19"/>
      <c r="E30" s="19"/>
      <c r="F30" s="19"/>
      <c r="G30" s="836"/>
      <c r="H30" s="837"/>
    </row>
    <row r="31" spans="1:8" ht="15.75">
      <c r="A31" s="741" t="str">
        <f>CONCATENATE("the ",D22-1," Budget, Certificate Page:")</f>
        <v>the -1 Budget, Certificate Page:</v>
      </c>
      <c r="B31" s="742"/>
      <c r="C31" s="19"/>
      <c r="D31" s="19"/>
      <c r="E31" s="19"/>
      <c r="F31" s="19"/>
      <c r="G31" s="836"/>
      <c r="H31" s="837"/>
    </row>
    <row r="32" spans="1:8" ht="15.75">
      <c r="A32" s="743" t="s">
        <v>222</v>
      </c>
      <c r="B32" s="744"/>
      <c r="C32" s="19"/>
      <c r="D32" s="19"/>
      <c r="E32" s="19"/>
      <c r="F32" s="19"/>
      <c r="G32" s="838"/>
      <c r="H32" s="839"/>
    </row>
    <row r="33" spans="1:8" ht="15.75" customHeight="1">
      <c r="A33" s="19"/>
      <c r="B33" s="19"/>
      <c r="C33" s="28"/>
      <c r="D33" s="29">
        <f>D22-1</f>
        <v>-1</v>
      </c>
      <c r="E33" s="830" t="str">
        <f>CONCATENATE("Amount of ",D22-2,"     Ad Valorem Tax")</f>
        <v>Amount of -2     Ad Valorem Tax</v>
      </c>
      <c r="F33" s="711"/>
      <c r="G33" s="109" t="s">
        <v>599</v>
      </c>
      <c r="H33" s="114" t="s">
        <v>35</v>
      </c>
    </row>
    <row r="34" spans="1:8" ht="15.75">
      <c r="A34" s="18" t="s">
        <v>2</v>
      </c>
      <c r="B34" s="19"/>
      <c r="C34" s="28" t="s">
        <v>3</v>
      </c>
      <c r="D34" s="30" t="s">
        <v>221</v>
      </c>
      <c r="E34" s="831"/>
      <c r="F34" s="711"/>
      <c r="G34" s="86" t="str">
        <f>CONCATENATE("",D22-2," Ad Valorem Tax")</f>
        <v>-2 Ad Valorem Tax</v>
      </c>
      <c r="H34" s="507">
        <v>0</v>
      </c>
    </row>
    <row r="35" spans="1:7" ht="15.75">
      <c r="A35" s="19"/>
      <c r="B35" s="31" t="s">
        <v>4</v>
      </c>
      <c r="C35" s="407"/>
      <c r="D35" s="32"/>
      <c r="E35" s="32"/>
      <c r="F35" s="711"/>
      <c r="G35" s="122">
        <f>IF(H34&gt;0,ROUND(E35-(E35*H34),0),0)</f>
        <v>0</v>
      </c>
    </row>
    <row r="36" spans="1:7" ht="15.75">
      <c r="A36" s="19"/>
      <c r="B36" s="31" t="s">
        <v>220</v>
      </c>
      <c r="C36" s="33" t="s">
        <v>120</v>
      </c>
      <c r="D36" s="32"/>
      <c r="E36" s="32"/>
      <c r="F36" s="711"/>
      <c r="G36" s="122">
        <f>IF(H34&gt;0,ROUND(E36-(E36*H34),0),0)</f>
        <v>0</v>
      </c>
    </row>
    <row r="37" spans="1:7" ht="15.75">
      <c r="A37" s="19"/>
      <c r="B37" s="31" t="s">
        <v>675</v>
      </c>
      <c r="C37" s="33" t="s">
        <v>674</v>
      </c>
      <c r="D37" s="32"/>
      <c r="E37" s="32"/>
      <c r="F37" s="711"/>
      <c r="G37" s="122">
        <f>IF(H34&gt;0,ROUND(E37-(E37*H34),0),0)</f>
        <v>0</v>
      </c>
    </row>
    <row r="38" spans="1:7" ht="15.75">
      <c r="A38" s="18" t="s">
        <v>5</v>
      </c>
      <c r="B38" s="19"/>
      <c r="C38" s="19"/>
      <c r="D38" s="34"/>
      <c r="E38" s="19"/>
      <c r="F38" s="711"/>
      <c r="G38" s="711"/>
    </row>
    <row r="39" spans="1:7" ht="15.75">
      <c r="A39" s="19"/>
      <c r="B39" s="35"/>
      <c r="C39" s="407"/>
      <c r="D39" s="32"/>
      <c r="E39" s="32"/>
      <c r="F39" s="711"/>
      <c r="G39" s="122">
        <f>IF(H34&gt;0,ROUND(E39-(E39*H34),0),0)</f>
        <v>0</v>
      </c>
    </row>
    <row r="40" spans="1:7" ht="15.75">
      <c r="A40" s="19"/>
      <c r="B40" s="35"/>
      <c r="C40" s="407"/>
      <c r="D40" s="32"/>
      <c r="E40" s="32"/>
      <c r="F40" s="711"/>
      <c r="G40" s="122">
        <f>IF(H34&gt;0,ROUND(E40-(E40*H34),0),0)</f>
        <v>0</v>
      </c>
    </row>
    <row r="41" spans="1:5" ht="16.5" thickBot="1">
      <c r="A41" s="36" t="str">
        <f>CONCATENATE("Total Ad Valorem Tax for ",D22-1," Budgeted Year")</f>
        <v>Total Ad Valorem Tax for -1 Budgeted Year</v>
      </c>
      <c r="B41" s="37"/>
      <c r="C41" s="37"/>
      <c r="D41" s="38"/>
      <c r="E41" s="39">
        <f>SUM(E35:E40)</f>
        <v>0</v>
      </c>
    </row>
    <row r="42" spans="1:5" ht="16.5" thickTop="1">
      <c r="A42" s="40" t="s">
        <v>6</v>
      </c>
      <c r="B42" s="19"/>
      <c r="C42" s="19"/>
      <c r="D42" s="19"/>
      <c r="E42" s="19"/>
    </row>
    <row r="43" spans="1:5" ht="15.75">
      <c r="A43" s="19"/>
      <c r="B43" s="35"/>
      <c r="C43" s="19"/>
      <c r="D43" s="32"/>
      <c r="E43" s="19"/>
    </row>
    <row r="44" spans="1:5" ht="15.75">
      <c r="A44" s="19"/>
      <c r="B44" s="35"/>
      <c r="C44" s="19"/>
      <c r="D44" s="32"/>
      <c r="E44" s="19"/>
    </row>
    <row r="45" spans="1:5" ht="16.5" thickBot="1">
      <c r="A45" s="37" t="str">
        <f>CONCATENATE("Total Expenditures for ",D22-1," Budgeted Year")</f>
        <v>Total Expenditures for -1 Budgeted Year</v>
      </c>
      <c r="B45" s="37"/>
      <c r="C45" s="41"/>
      <c r="D45" s="42">
        <f>SUM(D35:D37,D39:D40,D43:D44)</f>
        <v>0</v>
      </c>
      <c r="E45" s="34"/>
    </row>
    <row r="46" spans="1:5" ht="16.5" thickTop="1">
      <c r="A46" s="19" t="s">
        <v>184</v>
      </c>
      <c r="B46" s="19"/>
      <c r="C46" s="19"/>
      <c r="D46" s="19"/>
      <c r="E46" s="34"/>
    </row>
    <row r="47" spans="1:5" ht="15.75">
      <c r="A47" s="19">
        <v>1</v>
      </c>
      <c r="B47" s="43"/>
      <c r="C47" s="19"/>
      <c r="D47" s="19"/>
      <c r="E47" s="34"/>
    </row>
    <row r="48" spans="1:5" ht="15.75">
      <c r="A48" s="19">
        <v>2</v>
      </c>
      <c r="B48" s="43"/>
      <c r="C48" s="19"/>
      <c r="D48" s="19"/>
      <c r="E48" s="34"/>
    </row>
    <row r="49" spans="1:5" ht="15.75">
      <c r="A49" s="19">
        <v>3</v>
      </c>
      <c r="B49" s="43"/>
      <c r="C49" s="19"/>
      <c r="D49" s="19"/>
      <c r="E49" s="34"/>
    </row>
    <row r="50" spans="1:5" ht="15.75">
      <c r="A50" s="19">
        <v>4</v>
      </c>
      <c r="B50" s="43"/>
      <c r="C50" s="19"/>
      <c r="D50" s="19"/>
      <c r="E50" s="34"/>
    </row>
    <row r="51" spans="1:5" ht="15.75">
      <c r="A51" s="19">
        <v>5</v>
      </c>
      <c r="B51" s="43"/>
      <c r="C51" s="19"/>
      <c r="D51" s="19"/>
      <c r="E51" s="34"/>
    </row>
    <row r="52" spans="1:5" ht="15.75">
      <c r="A52" s="19"/>
      <c r="B52" s="19"/>
      <c r="C52" s="19"/>
      <c r="D52" s="19"/>
      <c r="E52" s="34"/>
    </row>
    <row r="53" spans="1:5" ht="15.75" customHeight="1">
      <c r="A53" s="739" t="s">
        <v>121</v>
      </c>
      <c r="B53" s="740"/>
      <c r="C53" s="19"/>
      <c r="D53" s="825" t="str">
        <f>CONCATENATE("",D22-3," Tax Rate         (",D22-2," Column)")</f>
        <v>-3 Tax Rate         (-2 Column)</v>
      </c>
      <c r="E53" s="34"/>
    </row>
    <row r="54" spans="1:5" ht="15.75">
      <c r="A54" s="743" t="str">
        <f>CONCATENATE("the ",D22-1," Budget, Budget Summary Page")</f>
        <v>the -1 Budget, Budget Summary Page</v>
      </c>
      <c r="B54" s="744"/>
      <c r="C54" s="19"/>
      <c r="D54" s="826"/>
      <c r="E54" s="34"/>
    </row>
    <row r="55" spans="1:5" ht="15.75">
      <c r="A55" s="19"/>
      <c r="B55" s="760" t="str">
        <f>B35</f>
        <v>General</v>
      </c>
      <c r="C55" s="19"/>
      <c r="D55" s="45"/>
      <c r="E55" s="34"/>
    </row>
    <row r="56" spans="1:5" ht="15.75">
      <c r="A56" s="19"/>
      <c r="B56" s="44" t="str">
        <f>B36</f>
        <v>Debt Service</v>
      </c>
      <c r="C56" s="19"/>
      <c r="D56" s="45"/>
      <c r="E56" s="34"/>
    </row>
    <row r="57" spans="1:5" ht="15.75">
      <c r="A57" s="19"/>
      <c r="B57" s="44" t="str">
        <f>B37</f>
        <v>Employee Benefits</v>
      </c>
      <c r="C57" s="19"/>
      <c r="D57" s="45"/>
      <c r="E57" s="34"/>
    </row>
    <row r="58" spans="1:5" ht="15.75">
      <c r="A58" s="19"/>
      <c r="B58" s="44">
        <f>B39</f>
        <v>0</v>
      </c>
      <c r="C58" s="19"/>
      <c r="D58" s="45"/>
      <c r="E58" s="34"/>
    </row>
    <row r="59" spans="1:5" ht="15.75">
      <c r="A59" s="19"/>
      <c r="B59" s="44">
        <f>B40</f>
        <v>0</v>
      </c>
      <c r="C59" s="19"/>
      <c r="D59" s="45"/>
      <c r="E59" s="34"/>
    </row>
    <row r="60" spans="1:5" ht="16.5" thickBot="1">
      <c r="A60" s="36" t="s">
        <v>7</v>
      </c>
      <c r="B60" s="37"/>
      <c r="C60" s="41"/>
      <c r="D60" s="46">
        <f>SUM(D55:D59)</f>
        <v>0</v>
      </c>
      <c r="E60" s="34"/>
    </row>
    <row r="61" spans="1:5" ht="16.5" thickTop="1">
      <c r="A61" s="19"/>
      <c r="B61" s="19"/>
      <c r="C61" s="19"/>
      <c r="D61" s="19"/>
      <c r="E61" s="34"/>
    </row>
    <row r="62" spans="1:5" ht="15.75">
      <c r="A62" s="40"/>
      <c r="B62" s="19"/>
      <c r="C62" s="19"/>
      <c r="D62" s="19"/>
      <c r="E62" s="47"/>
    </row>
    <row r="63" spans="1:5" ht="15.75">
      <c r="A63" s="759" t="str">
        <f>CONCATENATE("Total Tax Levied (",D22-2," budget column)")</f>
        <v>Total Tax Levied (-2 budget column)</v>
      </c>
      <c r="B63" s="740"/>
      <c r="C63" s="19"/>
      <c r="D63" s="19"/>
      <c r="E63" s="32"/>
    </row>
    <row r="64" spans="1:5" ht="15.75">
      <c r="A64" s="758" t="str">
        <f>CONCATENATE("Assessed Valuation (",D22-2," budget column)")</f>
        <v>Assessed Valuation (-2 budget column)</v>
      </c>
      <c r="B64" s="757"/>
      <c r="C64" s="19"/>
      <c r="D64" s="19"/>
      <c r="E64" s="32"/>
    </row>
    <row r="65" spans="1:5" ht="15.75">
      <c r="A65" s="19"/>
      <c r="B65" s="19"/>
      <c r="C65" s="19"/>
      <c r="D65" s="19"/>
      <c r="E65" s="34"/>
    </row>
    <row r="66" spans="1:5" ht="15.75">
      <c r="A66" s="756" t="s">
        <v>157</v>
      </c>
      <c r="B66" s="740"/>
      <c r="C66" s="19"/>
      <c r="D66" s="48">
        <f>D22-2</f>
        <v>-2</v>
      </c>
      <c r="E66" s="48">
        <f>D22-1</f>
        <v>-1</v>
      </c>
    </row>
    <row r="67" spans="1:5" ht="15.75">
      <c r="A67" s="755" t="s">
        <v>147</v>
      </c>
      <c r="B67" s="757"/>
      <c r="C67" s="41"/>
      <c r="D67" s="50"/>
      <c r="E67" s="50"/>
    </row>
    <row r="68" spans="1:5" ht="15.75">
      <c r="A68" s="754" t="s">
        <v>148</v>
      </c>
      <c r="B68" s="753"/>
      <c r="C68" s="51"/>
      <c r="D68" s="50"/>
      <c r="E68" s="50"/>
    </row>
    <row r="69" spans="1:5" ht="15.75">
      <c r="A69" s="754" t="s">
        <v>155</v>
      </c>
      <c r="B69" s="753"/>
      <c r="C69" s="51"/>
      <c r="D69" s="50"/>
      <c r="E69" s="50"/>
    </row>
    <row r="70" spans="1:5" ht="15.75">
      <c r="A70" s="754" t="s">
        <v>149</v>
      </c>
      <c r="B70" s="753"/>
      <c r="C70" s="51"/>
      <c r="D70" s="50"/>
      <c r="E70" s="50"/>
    </row>
    <row r="71" spans="1:5" ht="15.75">
      <c r="A71" s="754"/>
      <c r="B71" s="753"/>
      <c r="C71" s="52"/>
      <c r="D71" s="50"/>
      <c r="E71" s="50"/>
    </row>
  </sheetData>
  <sheetProtection sheet="1"/>
  <mergeCells count="6">
    <mergeCell ref="D53:D54"/>
    <mergeCell ref="A28:E28"/>
    <mergeCell ref="A1:E1"/>
    <mergeCell ref="E33:E34"/>
    <mergeCell ref="A24:E26"/>
    <mergeCell ref="G26:H32"/>
  </mergeCells>
  <printOptions/>
  <pageMargins left="0.5" right="0.5" top="0.5" bottom="0.5" header="0.5" footer="0.5"/>
  <pageSetup blackAndWhite="1" fitToHeight="1" fitToWidth="1" horizontalDpi="120" verticalDpi="120" orientation="portrait" scale="80" r:id="rId1"/>
</worksheet>
</file>

<file path=xl/worksheets/sheet20.xml><?xml version="1.0" encoding="utf-8"?>
<worksheet xmlns="http://schemas.openxmlformats.org/spreadsheetml/2006/main" xmlns:r="http://schemas.openxmlformats.org/officeDocument/2006/relationships">
  <sheetPr>
    <pageSetUpPr fitToPage="1"/>
  </sheetPr>
  <dimension ref="B2:H7"/>
  <sheetViews>
    <sheetView zoomScalePageLayoutView="0" workbookViewId="0" topLeftCell="A1">
      <selection activeCell="U83" sqref="U83"/>
    </sheetView>
  </sheetViews>
  <sheetFormatPr defaultColWidth="8.796875" defaultRowHeight="15"/>
  <sheetData>
    <row r="2" spans="2:8" ht="15.75">
      <c r="B2" s="719"/>
      <c r="C2" s="719"/>
      <c r="D2" s="719"/>
      <c r="E2" s="719"/>
      <c r="F2" s="719"/>
      <c r="G2" s="719"/>
      <c r="H2" s="723">
        <f>inputPrYr!D22</f>
        <v>0</v>
      </c>
    </row>
    <row r="3" spans="2:8" ht="15.75" thickBot="1">
      <c r="B3" s="719"/>
      <c r="C3" s="719"/>
      <c r="D3" s="719"/>
      <c r="E3" s="719"/>
      <c r="F3" s="719"/>
      <c r="G3" s="719"/>
      <c r="H3" s="719"/>
    </row>
    <row r="4" spans="2:8" ht="19.5" thickBot="1">
      <c r="B4" s="966" t="s">
        <v>729</v>
      </c>
      <c r="C4" s="967"/>
      <c r="D4" s="967"/>
      <c r="E4" s="967"/>
      <c r="F4" s="967"/>
      <c r="G4" s="967"/>
      <c r="H4" s="968"/>
    </row>
    <row r="5" spans="2:8" ht="16.5" thickBot="1">
      <c r="B5" s="720"/>
      <c r="C5" s="720"/>
      <c r="D5" s="721"/>
      <c r="E5" s="722"/>
      <c r="F5" s="720"/>
      <c r="G5" s="720"/>
      <c r="H5" s="720"/>
    </row>
    <row r="6" spans="2:8" ht="15.75">
      <c r="B6" s="969" t="str">
        <f>CONCATENATE("Notice of Vote - ",inputPrYr!D3)</f>
        <v>Notice of Vote - </v>
      </c>
      <c r="C6" s="970"/>
      <c r="D6" s="970"/>
      <c r="E6" s="970"/>
      <c r="F6" s="970"/>
      <c r="G6" s="970"/>
      <c r="H6" s="971"/>
    </row>
    <row r="7" spans="2:8" ht="60.75" customHeight="1" thickBot="1">
      <c r="B7" s="963" t="str">
        <f>CONCATENATE("In adopting the ",H2," budget the governing body voted to increase property taxes in an amount greater than the amount levied for the ",H2-1," budget, adjusted by the ",H2-2," CPI for all urban consumers.  _____ members voted in favor of the budget and _____ members voted against the budget.")</f>
        <v>In adopting the 0 budget the governing body voted to increase property taxes in an amount greater than the amount levied for the -1 budget, adjusted by the -2 CPI for all urban consumers.  _____ members voted in favor of the budget and _____ members voted against the budget.</v>
      </c>
      <c r="C7" s="964"/>
      <c r="D7" s="964"/>
      <c r="E7" s="964"/>
      <c r="F7" s="964"/>
      <c r="G7" s="964"/>
      <c r="H7" s="965"/>
    </row>
  </sheetData>
  <sheetProtection sheet="1"/>
  <mergeCells count="3">
    <mergeCell ref="B7:H7"/>
    <mergeCell ref="B4:H4"/>
    <mergeCell ref="B6:H6"/>
  </mergeCells>
  <printOptions/>
  <pageMargins left="0.7" right="0.7" top="0.75" bottom="0.75" header="0.3" footer="0.3"/>
  <pageSetup fitToHeight="1" fitToWidth="1" horizontalDpi="600" verticalDpi="600" orientation="portrait" scale="99" r:id="rId1"/>
</worksheet>
</file>

<file path=xl/worksheets/sheet21.xml><?xml version="1.0" encoding="utf-8"?>
<worksheet xmlns="http://schemas.openxmlformats.org/spreadsheetml/2006/main" xmlns:r="http://schemas.openxmlformats.org/officeDocument/2006/relationships">
  <sheetPr>
    <pageSetUpPr fitToPage="1"/>
  </sheetPr>
  <dimension ref="B2:G12"/>
  <sheetViews>
    <sheetView zoomScalePageLayoutView="0" workbookViewId="0" topLeftCell="A1">
      <selection activeCell="U83" sqref="U83"/>
    </sheetView>
  </sheetViews>
  <sheetFormatPr defaultColWidth="8.796875" defaultRowHeight="15"/>
  <cols>
    <col min="4" max="4" width="12.19921875" style="0" customWidth="1"/>
    <col min="6" max="6" width="3.296875" style="0" customWidth="1"/>
  </cols>
  <sheetData>
    <row r="2" spans="2:7" ht="15.75">
      <c r="B2" s="719"/>
      <c r="C2" s="719"/>
      <c r="D2" s="719"/>
      <c r="E2" s="719"/>
      <c r="F2" s="719"/>
      <c r="G2" s="723">
        <f>inputPrYr!D22</f>
        <v>0</v>
      </c>
    </row>
    <row r="3" spans="2:7" ht="15.75" thickBot="1">
      <c r="B3" s="719"/>
      <c r="C3" s="719"/>
      <c r="D3" s="719"/>
      <c r="E3" s="719"/>
      <c r="F3" s="719"/>
      <c r="G3" s="719"/>
    </row>
    <row r="4" spans="2:7" ht="19.5" thickBot="1">
      <c r="B4" s="972" t="s">
        <v>730</v>
      </c>
      <c r="C4" s="973"/>
      <c r="D4" s="973"/>
      <c r="E4" s="973"/>
      <c r="F4" s="973"/>
      <c r="G4" s="974"/>
    </row>
    <row r="5" spans="2:7" ht="16.5" thickBot="1">
      <c r="B5" s="724"/>
      <c r="C5" s="724"/>
      <c r="D5" s="724"/>
      <c r="E5" s="724"/>
      <c r="F5" s="724"/>
      <c r="G5" s="724"/>
    </row>
    <row r="6" spans="2:7" ht="15.75">
      <c r="B6" s="969" t="str">
        <f>CONCATENATE("Notice of Vote - ",inputPrYr!D3)</f>
        <v>Notice of Vote - </v>
      </c>
      <c r="C6" s="970"/>
      <c r="D6" s="970"/>
      <c r="E6" s="970"/>
      <c r="F6" s="970"/>
      <c r="G6" s="971"/>
    </row>
    <row r="7" spans="2:7" ht="15.75">
      <c r="B7" s="975" t="s">
        <v>731</v>
      </c>
      <c r="C7" s="976"/>
      <c r="D7" s="976"/>
      <c r="E7" s="976"/>
      <c r="F7" s="976"/>
      <c r="G7" s="977"/>
    </row>
    <row r="8" spans="2:7" ht="15.75">
      <c r="B8" s="975" t="s">
        <v>732</v>
      </c>
      <c r="C8" s="976"/>
      <c r="D8" s="976"/>
      <c r="E8" s="976"/>
      <c r="F8" s="976"/>
      <c r="G8" s="977"/>
    </row>
    <row r="9" spans="2:7" ht="15.75">
      <c r="B9" s="727" t="str">
        <f>CONCATENATE(G2-1," Budget")</f>
        <v>-1 Budget</v>
      </c>
      <c r="C9" s="731" t="s">
        <v>81</v>
      </c>
      <c r="D9" s="733">
        <f>inputPrYr!E41</f>
        <v>0</v>
      </c>
      <c r="E9" s="725"/>
      <c r="F9" s="725"/>
      <c r="G9" s="726"/>
    </row>
    <row r="10" spans="2:7" ht="15.75">
      <c r="B10" s="727" t="str">
        <f>CONCATENATE(G2," Budget")</f>
        <v>0 Budget</v>
      </c>
      <c r="C10" s="731" t="s">
        <v>81</v>
      </c>
      <c r="D10" s="734">
        <f>cert!F33</f>
        <v>0</v>
      </c>
      <c r="E10" s="725"/>
      <c r="F10" s="725"/>
      <c r="G10" s="726"/>
    </row>
    <row r="11" spans="2:7" ht="15.75">
      <c r="B11" s="727"/>
      <c r="C11" s="725"/>
      <c r="D11" s="725" t="s">
        <v>733</v>
      </c>
      <c r="E11" s="735"/>
      <c r="F11" s="730" t="s">
        <v>734</v>
      </c>
      <c r="G11" s="736"/>
    </row>
    <row r="12" spans="2:7" ht="16.5" thickBot="1">
      <c r="B12" s="728"/>
      <c r="C12" s="729"/>
      <c r="D12" s="729"/>
      <c r="E12" s="729"/>
      <c r="F12" s="729"/>
      <c r="G12" s="732"/>
    </row>
  </sheetData>
  <sheetProtection sheet="1" objects="1" scenarios="1"/>
  <mergeCells count="4">
    <mergeCell ref="B4:G4"/>
    <mergeCell ref="B6:G6"/>
    <mergeCell ref="B7:G7"/>
    <mergeCell ref="B8:G8"/>
  </mergeCells>
  <printOptions/>
  <pageMargins left="0.7" right="0.7" top="0.75" bottom="0.75" header="0.3" footer="0.3"/>
  <pageSetup fitToHeight="1" fitToWidth="1"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2:G14"/>
  <sheetViews>
    <sheetView zoomScalePageLayoutView="0" workbookViewId="0" topLeftCell="A1">
      <selection activeCell="U74" sqref="U74"/>
    </sheetView>
  </sheetViews>
  <sheetFormatPr defaultColWidth="8.796875" defaultRowHeight="15"/>
  <cols>
    <col min="4" max="4" width="12.19921875" style="0" customWidth="1"/>
    <col min="6" max="6" width="6.796875" style="0" customWidth="1"/>
  </cols>
  <sheetData>
    <row r="2" spans="2:7" ht="15.75">
      <c r="B2" s="719"/>
      <c r="C2" s="719"/>
      <c r="D2" s="719"/>
      <c r="E2" s="719"/>
      <c r="F2" s="719"/>
      <c r="G2" s="723">
        <f>inputPrYr!D22</f>
        <v>0</v>
      </c>
    </row>
    <row r="3" spans="2:7" ht="15.75" thickBot="1">
      <c r="B3" s="719"/>
      <c r="C3" s="719"/>
      <c r="D3" s="719"/>
      <c r="E3" s="719"/>
      <c r="F3" s="719"/>
      <c r="G3" s="719"/>
    </row>
    <row r="4" spans="2:7" ht="19.5" thickBot="1">
      <c r="B4" s="972" t="s">
        <v>730</v>
      </c>
      <c r="C4" s="973"/>
      <c r="D4" s="973"/>
      <c r="E4" s="973"/>
      <c r="F4" s="973"/>
      <c r="G4" s="974"/>
    </row>
    <row r="5" spans="2:7" ht="16.5" thickBot="1">
      <c r="B5" s="724"/>
      <c r="C5" s="724"/>
      <c r="D5" s="724"/>
      <c r="E5" s="724"/>
      <c r="F5" s="724"/>
      <c r="G5" s="724"/>
    </row>
    <row r="6" spans="2:7" ht="15.75">
      <c r="B6" s="969" t="str">
        <f>CONCATENATE("Notice of Vote - ",inputPrYr!D3)</f>
        <v>Notice of Vote - </v>
      </c>
      <c r="C6" s="970"/>
      <c r="D6" s="970"/>
      <c r="E6" s="970"/>
      <c r="F6" s="970"/>
      <c r="G6" s="971"/>
    </row>
    <row r="7" spans="2:7" ht="15.75">
      <c r="B7" s="975" t="s">
        <v>731</v>
      </c>
      <c r="C7" s="976"/>
      <c r="D7" s="976"/>
      <c r="E7" s="976"/>
      <c r="F7" s="976"/>
      <c r="G7" s="977"/>
    </row>
    <row r="8" spans="2:7" ht="15.75">
      <c r="B8" s="783"/>
      <c r="C8" s="784"/>
      <c r="D8" s="810" t="s">
        <v>732</v>
      </c>
      <c r="E8" s="784"/>
      <c r="F8" s="813" t="s">
        <v>781</v>
      </c>
      <c r="G8" s="785"/>
    </row>
    <row r="9" spans="2:7" ht="15.75">
      <c r="B9" s="727" t="str">
        <f>CONCATENATE(G2-1," Budget")</f>
        <v>-1 Budget</v>
      </c>
      <c r="C9" s="731" t="s">
        <v>81</v>
      </c>
      <c r="D9" s="733">
        <f>summ!D32</f>
        <v>0</v>
      </c>
      <c r="E9" s="725"/>
      <c r="F9" s="812">
        <f>summ!E29</f>
        <v>0</v>
      </c>
      <c r="G9" s="726"/>
    </row>
    <row r="10" spans="2:7" ht="15.75">
      <c r="B10" s="727" t="str">
        <f>CONCATENATE(G2," Budget")</f>
        <v>0 Budget</v>
      </c>
      <c r="C10" s="731" t="s">
        <v>81</v>
      </c>
      <c r="D10" s="734">
        <f>summ!G29</f>
        <v>0</v>
      </c>
      <c r="E10" s="725"/>
      <c r="F10" s="812">
        <f>summ!H29</f>
        <v>0</v>
      </c>
      <c r="G10" s="726"/>
    </row>
    <row r="11" spans="2:7" ht="15.75">
      <c r="B11" s="727"/>
      <c r="C11" s="731"/>
      <c r="D11" s="804"/>
      <c r="E11" s="725"/>
      <c r="F11" s="725"/>
      <c r="G11" s="726"/>
    </row>
    <row r="12" spans="2:7" ht="15.75">
      <c r="B12" s="727"/>
      <c r="C12" s="725"/>
      <c r="D12" s="725" t="s">
        <v>733</v>
      </c>
      <c r="E12" s="735"/>
      <c r="F12" s="784" t="s">
        <v>734</v>
      </c>
      <c r="G12" s="736"/>
    </row>
    <row r="13" spans="2:7" ht="15.75">
      <c r="B13" s="727"/>
      <c r="C13" s="725"/>
      <c r="D13" s="725"/>
      <c r="E13" s="805"/>
      <c r="F13" s="784"/>
      <c r="G13" s="806"/>
    </row>
    <row r="14" spans="2:7" ht="16.5" thickBot="1">
      <c r="B14" s="811" t="str">
        <f>CONCATENATE("* ",G2-1," mill levy is actual.  ",G2," mill levy is estimated.")</f>
        <v>* -1 mill levy is actual.  0 mill levy is estimated.</v>
      </c>
      <c r="C14" s="729"/>
      <c r="D14" s="729"/>
      <c r="E14" s="729"/>
      <c r="F14" s="729"/>
      <c r="G14" s="732"/>
    </row>
  </sheetData>
  <sheetProtection sheet="1" objects="1" scenarios="1"/>
  <mergeCells count="3">
    <mergeCell ref="B4:G4"/>
    <mergeCell ref="B6:G6"/>
    <mergeCell ref="B7:G7"/>
  </mergeCells>
  <printOptions/>
  <pageMargins left="0.7" right="0.7" top="0.75" bottom="0.75" header="0.3" footer="0.3"/>
  <pageSetup fitToHeight="1" fitToWidth="1"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B1:C16"/>
  <sheetViews>
    <sheetView zoomScalePageLayoutView="0" workbookViewId="0" topLeftCell="A1">
      <selection activeCell="J66" sqref="J66"/>
    </sheetView>
  </sheetViews>
  <sheetFormatPr defaultColWidth="8.796875" defaultRowHeight="15"/>
  <cols>
    <col min="2" max="2" width="100.796875" style="807" customWidth="1"/>
  </cols>
  <sheetData>
    <row r="1" ht="15">
      <c r="C1" s="808">
        <f>inputPrYr!D3</f>
        <v>0</v>
      </c>
    </row>
    <row r="2" ht="15">
      <c r="C2" s="808">
        <f>inputPrYr!D4</f>
        <v>0</v>
      </c>
    </row>
    <row r="3" ht="15">
      <c r="C3" s="808">
        <f>inputPrYr!D22</f>
        <v>0</v>
      </c>
    </row>
    <row r="5" ht="49.5" customHeight="1">
      <c r="B5" s="809" t="s">
        <v>782</v>
      </c>
    </row>
    <row r="6" ht="49.5" customHeight="1">
      <c r="B6" s="814" t="str">
        <f>CONCATENATE("A resolution expressing the property taxation policy of the ",C1," governing body with respect to financing the annual budget for ",C3)</f>
        <v>A resolution expressing the property taxation policy of the 0 governing body with respect to financing the annual budget for 0</v>
      </c>
    </row>
    <row r="7" ht="99.75" customHeight="1">
      <c r="B7" s="815" t="str">
        <f>CONCATENATE("Whereas, K.S.A. 79-2925b, as amended, provides that a levy of property taxes to finance the ",C3," budget of the ",C1," exceeding the amount levied to finance the ",C3-1," budget of the ",C1,", as adjusted to reflect changes in the Consumer Price Index for All Urban Consumers for calendar year ",C3-2,", be authorized by a resolution adopted in advance of the adoption of a budget supported by such levy; and")</f>
        <v>Whereas, K.S.A. 79-2925b, as amended, provides that a levy of property taxes to finance the 0 budget of the 0 exceeding the amount levied to finance the -1 budget of the 0, as adjusted to reflect changes in the Consumer Price Index for All Urban Consumers for calendar year -2, be authorized by a resolution adopted in advance of the adoption of a budget supported by such levy; and</v>
      </c>
    </row>
    <row r="8" ht="99.75" customHeight="1">
      <c r="B8" s="815" t="s">
        <v>783</v>
      </c>
    </row>
    <row r="9" ht="49.5" customHeight="1">
      <c r="B9" s="815" t="str">
        <f>CONCATENATE("Whereas, ",C1," provides essential services to its citizens; and")</f>
        <v>Whereas, 0 provides essential services to its citizens; and</v>
      </c>
    </row>
    <row r="10" ht="49.5" customHeight="1">
      <c r="B10" s="815" t="s">
        <v>784</v>
      </c>
    </row>
    <row r="11" ht="49.5" customHeight="1">
      <c r="B11" s="815" t="str">
        <f>CONCATENATE("NOW, THEREFORE, BE IT RESOLVED by the ",C1," governing body that a levy of property taxes in support of the ",C3," budget exceeding the amount levied in ",C3-1,", as adjusted pursuant to K.S.A. 79-2925b, as amended, is hereby approved.")</f>
        <v>NOW, THEREFORE, BE IT RESOLVED by the 0 governing body that a levy of property taxes in support of the 0 budget exceeding the amount levied in -1, as adjusted pursuant to K.S.A. 79-2925b, as amended, is hereby approved.</v>
      </c>
    </row>
    <row r="12" ht="49.5" customHeight="1">
      <c r="B12" s="815" t="str">
        <f>CONCATENATE("Adopted this _____day of____________, ",C3-1," by the ",C1," governing body, ",C2,", Kansas.")</f>
        <v>Adopted this _____day of____________, -1 by the 0 governing body, 0, Kansas.</v>
      </c>
    </row>
    <row r="13" ht="49.5" customHeight="1">
      <c r="B13" s="816" t="str">
        <f>CONCATENATE(C1," Governing Body")</f>
        <v>0 Governing Body</v>
      </c>
    </row>
    <row r="14" ht="49.5" customHeight="1">
      <c r="B14" s="817" t="s">
        <v>785</v>
      </c>
    </row>
    <row r="15" ht="49.5" customHeight="1">
      <c r="B15" s="817" t="s">
        <v>785</v>
      </c>
    </row>
    <row r="16" ht="49.5" customHeight="1">
      <c r="B16" s="817" t="s">
        <v>785</v>
      </c>
    </row>
  </sheetData>
  <sheetProtection sheet="1" objects="1" scenarios="1"/>
  <printOptions/>
  <pageMargins left="0.7" right="0.7" top="0.75" bottom="0.75" header="0.3" footer="0.3"/>
  <pageSetup fitToHeight="1" fitToWidth="1" horizontalDpi="600" verticalDpi="600" orientation="portrait" scale="70" r:id="rId1"/>
</worksheet>
</file>

<file path=xl/worksheets/sheet24.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V94" sqref="V94"/>
    </sheetView>
  </sheetViews>
  <sheetFormatPr defaultColWidth="8.796875" defaultRowHeight="15"/>
  <cols>
    <col min="1" max="1" width="71.296875" style="0" customWidth="1"/>
  </cols>
  <sheetData>
    <row r="3" spans="1:12" ht="15">
      <c r="A3" s="298" t="s">
        <v>263</v>
      </c>
      <c r="B3" s="298"/>
      <c r="C3" s="298"/>
      <c r="D3" s="298"/>
      <c r="E3" s="298"/>
      <c r="F3" s="298"/>
      <c r="G3" s="298"/>
      <c r="H3" s="298"/>
      <c r="I3" s="298"/>
      <c r="J3" s="298"/>
      <c r="K3" s="298"/>
      <c r="L3" s="298"/>
    </row>
    <row r="5" ht="15">
      <c r="A5" s="299" t="s">
        <v>264</v>
      </c>
    </row>
    <row r="6" ht="15">
      <c r="A6" s="299" t="str">
        <f>CONCATENATE(inputPrYr!D22-2," 'total expenditures' exceed your ",inputPrYr!D22-2," 'budget authority.'")</f>
        <v>-2 'total expenditures' exceed your -2 'budget authority.'</v>
      </c>
    </row>
    <row r="7" ht="15">
      <c r="A7" s="299"/>
    </row>
    <row r="8" ht="15">
      <c r="A8" s="299" t="s">
        <v>265</v>
      </c>
    </row>
    <row r="9" ht="15">
      <c r="A9" s="299" t="s">
        <v>266</v>
      </c>
    </row>
    <row r="10" ht="15">
      <c r="A10" s="299" t="s">
        <v>267</v>
      </c>
    </row>
    <row r="11" ht="15">
      <c r="A11" s="299"/>
    </row>
    <row r="12" ht="15">
      <c r="A12" s="299"/>
    </row>
    <row r="13" ht="15">
      <c r="A13" s="300" t="s">
        <v>268</v>
      </c>
    </row>
    <row r="15" ht="15">
      <c r="A15" s="299" t="s">
        <v>269</v>
      </c>
    </row>
    <row r="16" ht="15">
      <c r="A16" s="299" t="str">
        <f>CONCATENATE("(i.e. an audit has not been completed, or the ",inputPrYr!D22," adopted")</f>
        <v>(i.e. an audit has not been completed, or the  adopted</v>
      </c>
    </row>
    <row r="17" ht="15">
      <c r="A17" s="299" t="s">
        <v>270</v>
      </c>
    </row>
    <row r="18" ht="15">
      <c r="A18" s="299" t="s">
        <v>271</v>
      </c>
    </row>
    <row r="19" ht="15">
      <c r="A19" s="299" t="s">
        <v>272</v>
      </c>
    </row>
    <row r="21" ht="15">
      <c r="A21" s="300" t="s">
        <v>273</v>
      </c>
    </row>
    <row r="22" ht="15">
      <c r="A22" s="300"/>
    </row>
    <row r="23" ht="15">
      <c r="A23" s="299" t="s">
        <v>274</v>
      </c>
    </row>
    <row r="24" ht="15">
      <c r="A24" s="299" t="s">
        <v>275</v>
      </c>
    </row>
    <row r="25" ht="15">
      <c r="A25" s="299" t="str">
        <f>CONCATENATE("particular fund.  If your ",inputPrYr!D22-2," budget was amended, did you")</f>
        <v>particular fund.  If your -2 budget was amended, did you</v>
      </c>
    </row>
    <row r="26" ht="15">
      <c r="A26" s="299" t="s">
        <v>276</v>
      </c>
    </row>
    <row r="27" ht="15">
      <c r="A27" s="299"/>
    </row>
    <row r="28" ht="15">
      <c r="A28" s="299" t="str">
        <f>CONCATENATE("Next, look to see if any of your ",inputPrYr!D22-2," expenditures can be")</f>
        <v>Next, look to see if any of your -2 expenditures can be</v>
      </c>
    </row>
    <row r="29" ht="15">
      <c r="A29" s="299" t="s">
        <v>277</v>
      </c>
    </row>
    <row r="30" ht="15">
      <c r="A30" s="299" t="s">
        <v>278</v>
      </c>
    </row>
    <row r="31" ht="15">
      <c r="A31" s="299" t="s">
        <v>279</v>
      </c>
    </row>
    <row r="32" ht="15">
      <c r="A32" s="299"/>
    </row>
    <row r="33" ht="15">
      <c r="A33" s="299" t="str">
        <f>CONCATENATE("Additionally, do your ",inputPrYr!D22-2," receipts contain a reimbursement")</f>
        <v>Additionally, do your -2 receipts contain a reimbursement</v>
      </c>
    </row>
    <row r="34" ht="15">
      <c r="A34" s="299" t="s">
        <v>280</v>
      </c>
    </row>
    <row r="35" ht="15">
      <c r="A35" s="299" t="s">
        <v>281</v>
      </c>
    </row>
    <row r="36" ht="15">
      <c r="A36" s="299"/>
    </row>
    <row r="37" ht="15">
      <c r="A37" s="299" t="s">
        <v>282</v>
      </c>
    </row>
    <row r="38" ht="15">
      <c r="A38" s="299" t="s">
        <v>283</v>
      </c>
    </row>
    <row r="39" ht="15">
      <c r="A39" s="299" t="s">
        <v>284</v>
      </c>
    </row>
    <row r="40" ht="15">
      <c r="A40" s="299"/>
    </row>
    <row r="41" ht="15">
      <c r="A41" s="300" t="s">
        <v>285</v>
      </c>
    </row>
    <row r="42" ht="15">
      <c r="A42" s="299"/>
    </row>
    <row r="43" ht="15">
      <c r="A43" s="299" t="s">
        <v>286</v>
      </c>
    </row>
    <row r="44" ht="15">
      <c r="A44" s="299" t="s">
        <v>287</v>
      </c>
    </row>
    <row r="45" ht="15">
      <c r="A45" s="299" t="s">
        <v>288</v>
      </c>
    </row>
    <row r="46" ht="15">
      <c r="A46" s="299" t="s">
        <v>289</v>
      </c>
    </row>
    <row r="47" ht="15">
      <c r="A47" s="299" t="s">
        <v>290</v>
      </c>
    </row>
    <row r="48" ht="15">
      <c r="A48" s="299" t="s">
        <v>291</v>
      </c>
    </row>
    <row r="49" ht="15">
      <c r="A49" s="299" t="s">
        <v>292</v>
      </c>
    </row>
    <row r="50" ht="15">
      <c r="A50" s="299" t="s">
        <v>293</v>
      </c>
    </row>
    <row r="51" ht="15">
      <c r="A51" s="299" t="s">
        <v>294</v>
      </c>
    </row>
    <row r="52" ht="15">
      <c r="A52" s="299" t="s">
        <v>295</v>
      </c>
    </row>
    <row r="53" ht="15">
      <c r="A53" s="299" t="s">
        <v>296</v>
      </c>
    </row>
    <row r="54" ht="15">
      <c r="A54" s="299" t="s">
        <v>297</v>
      </c>
    </row>
    <row r="55" ht="15">
      <c r="A55" s="299" t="s">
        <v>298</v>
      </c>
    </row>
    <row r="56" ht="15">
      <c r="A56" s="299"/>
    </row>
    <row r="57" ht="15">
      <c r="A57" s="299" t="s">
        <v>299</v>
      </c>
    </row>
    <row r="58" ht="15">
      <c r="A58" s="299" t="s">
        <v>300</v>
      </c>
    </row>
    <row r="59" ht="15">
      <c r="A59" s="299" t="s">
        <v>301</v>
      </c>
    </row>
    <row r="60" ht="15">
      <c r="A60" s="299"/>
    </row>
    <row r="61" ht="15">
      <c r="A61" s="300" t="str">
        <f>CONCATENATE("What if the ",inputPrYr!D22-2," financial records have been closed?")</f>
        <v>What if the -2 financial records have been closed?</v>
      </c>
    </row>
    <row r="63" ht="15">
      <c r="A63" s="299" t="s">
        <v>302</v>
      </c>
    </row>
    <row r="64" ht="15">
      <c r="A64" s="299" t="str">
        <f>CONCATENATE("(i.e. an audit for ",inputPrYr!D22-2," has been completed, or the ",inputPrYr!D22)</f>
        <v>(i.e. an audit for -2 has been completed, or the </v>
      </c>
    </row>
    <row r="65" ht="15">
      <c r="A65" s="299" t="s">
        <v>303</v>
      </c>
    </row>
    <row r="66" ht="15">
      <c r="A66" s="299" t="s">
        <v>304</v>
      </c>
    </row>
    <row r="67" ht="15">
      <c r="A67" s="299"/>
    </row>
    <row r="68" ht="15">
      <c r="A68" s="299" t="s">
        <v>305</v>
      </c>
    </row>
    <row r="69" ht="15">
      <c r="A69" s="299" t="s">
        <v>306</v>
      </c>
    </row>
    <row r="70" ht="15">
      <c r="A70" s="299" t="s">
        <v>307</v>
      </c>
    </row>
    <row r="71" ht="15">
      <c r="A71" s="299"/>
    </row>
    <row r="72" ht="15">
      <c r="A72" s="299" t="s">
        <v>308</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N106" sqref="N106"/>
    </sheetView>
  </sheetViews>
  <sheetFormatPr defaultColWidth="8.796875" defaultRowHeight="15"/>
  <cols>
    <col min="1" max="1" width="71.296875" style="0" customWidth="1"/>
  </cols>
  <sheetData>
    <row r="3" spans="1:10" ht="15">
      <c r="A3" s="298" t="s">
        <v>309</v>
      </c>
      <c r="B3" s="298"/>
      <c r="C3" s="298"/>
      <c r="D3" s="298"/>
      <c r="E3" s="298"/>
      <c r="F3" s="298"/>
      <c r="G3" s="298"/>
      <c r="H3" s="301"/>
      <c r="I3" s="301"/>
      <c r="J3" s="301"/>
    </row>
    <row r="5" ht="15">
      <c r="A5" s="299" t="s">
        <v>310</v>
      </c>
    </row>
    <row r="6" ht="15">
      <c r="A6" t="str">
        <f>CONCATENATE(inputPrYr!D22-2," expenditures show that you finished the year with a ")</f>
        <v>-2 expenditures show that you finished the year with a </v>
      </c>
    </row>
    <row r="7" ht="15">
      <c r="A7" t="s">
        <v>311</v>
      </c>
    </row>
    <row r="9" ht="15">
      <c r="A9" t="s">
        <v>312</v>
      </c>
    </row>
    <row r="10" ht="15">
      <c r="A10" t="s">
        <v>313</v>
      </c>
    </row>
    <row r="11" ht="15">
      <c r="A11" t="s">
        <v>314</v>
      </c>
    </row>
    <row r="13" ht="15">
      <c r="A13" s="300" t="s">
        <v>315</v>
      </c>
    </row>
    <row r="14" ht="15">
      <c r="A14" s="300"/>
    </row>
    <row r="15" ht="15">
      <c r="A15" s="299" t="s">
        <v>316</v>
      </c>
    </row>
    <row r="16" ht="15">
      <c r="A16" s="299" t="s">
        <v>317</v>
      </c>
    </row>
    <row r="17" ht="15">
      <c r="A17" s="299" t="s">
        <v>318</v>
      </c>
    </row>
    <row r="18" ht="15">
      <c r="A18" s="299"/>
    </row>
    <row r="19" ht="15">
      <c r="A19" s="300" t="s">
        <v>319</v>
      </c>
    </row>
    <row r="20" ht="15">
      <c r="A20" s="300"/>
    </row>
    <row r="21" ht="15">
      <c r="A21" s="299" t="s">
        <v>320</v>
      </c>
    </row>
    <row r="22" ht="15">
      <c r="A22" s="299" t="s">
        <v>321</v>
      </c>
    </row>
    <row r="23" ht="15">
      <c r="A23" s="299" t="s">
        <v>322</v>
      </c>
    </row>
    <row r="24" ht="15">
      <c r="A24" s="299"/>
    </row>
    <row r="25" ht="15">
      <c r="A25" s="300" t="s">
        <v>323</v>
      </c>
    </row>
    <row r="26" ht="15">
      <c r="A26" s="300"/>
    </row>
    <row r="27" ht="15">
      <c r="A27" s="299" t="s">
        <v>324</v>
      </c>
    </row>
    <row r="28" ht="15">
      <c r="A28" s="299" t="s">
        <v>325</v>
      </c>
    </row>
    <row r="29" ht="15">
      <c r="A29" s="299" t="s">
        <v>326</v>
      </c>
    </row>
    <row r="30" ht="15">
      <c r="A30" s="299"/>
    </row>
    <row r="31" ht="15">
      <c r="A31" s="300" t="s">
        <v>327</v>
      </c>
    </row>
    <row r="32" ht="15">
      <c r="A32" s="300"/>
    </row>
    <row r="33" spans="1:8" ht="15">
      <c r="A33" s="299" t="str">
        <f>CONCATENATE("If your financial records for ",inputPrYr!D22-2," are not closed")</f>
        <v>If your financial records for -2 are not closed</v>
      </c>
      <c r="B33" s="299"/>
      <c r="C33" s="299"/>
      <c r="D33" s="299"/>
      <c r="E33" s="299"/>
      <c r="F33" s="299"/>
      <c r="G33" s="299"/>
      <c r="H33" s="299"/>
    </row>
    <row r="34" spans="1:8" ht="15">
      <c r="A34" s="299" t="str">
        <f>CONCATENATE("(i.e. an audit has not been completed, or the ",inputPrYr!D22," adopted ")</f>
        <v>(i.e. an audit has not been completed, or the  adopted </v>
      </c>
      <c r="B34" s="299"/>
      <c r="C34" s="299"/>
      <c r="D34" s="299"/>
      <c r="E34" s="299"/>
      <c r="F34" s="299"/>
      <c r="G34" s="299"/>
      <c r="H34" s="299"/>
    </row>
    <row r="35" spans="1:8" ht="15">
      <c r="A35" s="299" t="s">
        <v>328</v>
      </c>
      <c r="B35" s="299"/>
      <c r="C35" s="299"/>
      <c r="D35" s="299"/>
      <c r="E35" s="299"/>
      <c r="F35" s="299"/>
      <c r="G35" s="299"/>
      <c r="H35" s="299"/>
    </row>
    <row r="36" spans="1:8" ht="15">
      <c r="A36" s="299" t="s">
        <v>329</v>
      </c>
      <c r="B36" s="299"/>
      <c r="C36" s="299"/>
      <c r="D36" s="299"/>
      <c r="E36" s="299"/>
      <c r="F36" s="299"/>
      <c r="G36" s="299"/>
      <c r="H36" s="299"/>
    </row>
    <row r="37" spans="1:8" ht="15">
      <c r="A37" s="299" t="s">
        <v>330</v>
      </c>
      <c r="B37" s="299"/>
      <c r="C37" s="299"/>
      <c r="D37" s="299"/>
      <c r="E37" s="299"/>
      <c r="F37" s="299"/>
      <c r="G37" s="299"/>
      <c r="H37" s="299"/>
    </row>
    <row r="38" spans="1:8" ht="15">
      <c r="A38" s="299" t="s">
        <v>331</v>
      </c>
      <c r="B38" s="299"/>
      <c r="C38" s="299"/>
      <c r="D38" s="299"/>
      <c r="E38" s="299"/>
      <c r="F38" s="299"/>
      <c r="G38" s="299"/>
      <c r="H38" s="299"/>
    </row>
    <row r="39" spans="1:8" ht="15">
      <c r="A39" s="299" t="s">
        <v>332</v>
      </c>
      <c r="B39" s="299"/>
      <c r="C39" s="299"/>
      <c r="D39" s="299"/>
      <c r="E39" s="299"/>
      <c r="F39" s="299"/>
      <c r="G39" s="299"/>
      <c r="H39" s="299"/>
    </row>
    <row r="40" spans="1:8" ht="15">
      <c r="A40" s="299"/>
      <c r="B40" s="299"/>
      <c r="C40" s="299"/>
      <c r="D40" s="299"/>
      <c r="E40" s="299"/>
      <c r="F40" s="299"/>
      <c r="G40" s="299"/>
      <c r="H40" s="299"/>
    </row>
    <row r="41" spans="1:8" ht="15">
      <c r="A41" s="299" t="s">
        <v>333</v>
      </c>
      <c r="B41" s="299"/>
      <c r="C41" s="299"/>
      <c r="D41" s="299"/>
      <c r="E41" s="299"/>
      <c r="F41" s="299"/>
      <c r="G41" s="299"/>
      <c r="H41" s="299"/>
    </row>
    <row r="42" spans="1:8" ht="15">
      <c r="A42" s="299" t="s">
        <v>334</v>
      </c>
      <c r="B42" s="299"/>
      <c r="C42" s="299"/>
      <c r="D42" s="299"/>
      <c r="E42" s="299"/>
      <c r="F42" s="299"/>
      <c r="G42" s="299"/>
      <c r="H42" s="299"/>
    </row>
    <row r="43" spans="1:8" ht="15">
      <c r="A43" s="299" t="s">
        <v>335</v>
      </c>
      <c r="B43" s="299"/>
      <c r="C43" s="299"/>
      <c r="D43" s="299"/>
      <c r="E43" s="299"/>
      <c r="F43" s="299"/>
      <c r="G43" s="299"/>
      <c r="H43" s="299"/>
    </row>
    <row r="44" spans="1:8" ht="15">
      <c r="A44" s="299" t="s">
        <v>336</v>
      </c>
      <c r="B44" s="299"/>
      <c r="C44" s="299"/>
      <c r="D44" s="299"/>
      <c r="E44" s="299"/>
      <c r="F44" s="299"/>
      <c r="G44" s="299"/>
      <c r="H44" s="299"/>
    </row>
    <row r="45" spans="1:8" ht="15">
      <c r="A45" s="299"/>
      <c r="B45" s="299"/>
      <c r="C45" s="299"/>
      <c r="D45" s="299"/>
      <c r="E45" s="299"/>
      <c r="F45" s="299"/>
      <c r="G45" s="299"/>
      <c r="H45" s="299"/>
    </row>
    <row r="46" spans="1:8" ht="15">
      <c r="A46" s="299" t="s">
        <v>337</v>
      </c>
      <c r="B46" s="299"/>
      <c r="C46" s="299"/>
      <c r="D46" s="299"/>
      <c r="E46" s="299"/>
      <c r="F46" s="299"/>
      <c r="G46" s="299"/>
      <c r="H46" s="299"/>
    </row>
    <row r="47" spans="1:8" ht="15">
      <c r="A47" s="299" t="s">
        <v>338</v>
      </c>
      <c r="B47" s="299"/>
      <c r="C47" s="299"/>
      <c r="D47" s="299"/>
      <c r="E47" s="299"/>
      <c r="F47" s="299"/>
      <c r="G47" s="299"/>
      <c r="H47" s="299"/>
    </row>
    <row r="48" spans="1:8" ht="15">
      <c r="A48" s="299" t="s">
        <v>339</v>
      </c>
      <c r="B48" s="299"/>
      <c r="C48" s="299"/>
      <c r="D48" s="299"/>
      <c r="E48" s="299"/>
      <c r="F48" s="299"/>
      <c r="G48" s="299"/>
      <c r="H48" s="299"/>
    </row>
    <row r="49" spans="1:8" ht="15">
      <c r="A49" s="299" t="s">
        <v>340</v>
      </c>
      <c r="B49" s="299"/>
      <c r="C49" s="299"/>
      <c r="D49" s="299"/>
      <c r="E49" s="299"/>
      <c r="F49" s="299"/>
      <c r="G49" s="299"/>
      <c r="H49" s="299"/>
    </row>
    <row r="50" spans="1:8" ht="15">
      <c r="A50" s="299" t="s">
        <v>341</v>
      </c>
      <c r="B50" s="299"/>
      <c r="C50" s="299"/>
      <c r="D50" s="299"/>
      <c r="E50" s="299"/>
      <c r="F50" s="299"/>
      <c r="G50" s="299"/>
      <c r="H50" s="299"/>
    </row>
    <row r="51" spans="1:8" ht="15">
      <c r="A51" s="299"/>
      <c r="B51" s="299"/>
      <c r="C51" s="299"/>
      <c r="D51" s="299"/>
      <c r="E51" s="299"/>
      <c r="F51" s="299"/>
      <c r="G51" s="299"/>
      <c r="H51" s="299"/>
    </row>
    <row r="52" spans="1:8" ht="15">
      <c r="A52" s="300" t="s">
        <v>342</v>
      </c>
      <c r="B52" s="300"/>
      <c r="C52" s="300"/>
      <c r="D52" s="300"/>
      <c r="E52" s="300"/>
      <c r="F52" s="300"/>
      <c r="G52" s="300"/>
      <c r="H52" s="299"/>
    </row>
    <row r="53" spans="1:8" ht="15">
      <c r="A53" s="300" t="s">
        <v>343</v>
      </c>
      <c r="B53" s="300"/>
      <c r="C53" s="300"/>
      <c r="D53" s="300"/>
      <c r="E53" s="300"/>
      <c r="F53" s="300"/>
      <c r="G53" s="300"/>
      <c r="H53" s="299"/>
    </row>
    <row r="54" spans="1:8" ht="15">
      <c r="A54" s="299"/>
      <c r="B54" s="299"/>
      <c r="C54" s="299"/>
      <c r="D54" s="299"/>
      <c r="E54" s="299"/>
      <c r="F54" s="299"/>
      <c r="G54" s="299"/>
      <c r="H54" s="299"/>
    </row>
    <row r="55" spans="1:8" ht="15">
      <c r="A55" s="299" t="s">
        <v>344</v>
      </c>
      <c r="B55" s="299"/>
      <c r="C55" s="299"/>
      <c r="D55" s="299"/>
      <c r="E55" s="299"/>
      <c r="F55" s="299"/>
      <c r="G55" s="299"/>
      <c r="H55" s="299"/>
    </row>
    <row r="56" spans="1:8" ht="15">
      <c r="A56" s="299" t="s">
        <v>345</v>
      </c>
      <c r="B56" s="299"/>
      <c r="C56" s="299"/>
      <c r="D56" s="299"/>
      <c r="E56" s="299"/>
      <c r="F56" s="299"/>
      <c r="G56" s="299"/>
      <c r="H56" s="299"/>
    </row>
    <row r="57" spans="1:8" ht="15">
      <c r="A57" s="299" t="s">
        <v>346</v>
      </c>
      <c r="B57" s="299"/>
      <c r="C57" s="299"/>
      <c r="D57" s="299"/>
      <c r="E57" s="299"/>
      <c r="F57" s="299"/>
      <c r="G57" s="299"/>
      <c r="H57" s="299"/>
    </row>
    <row r="58" spans="1:8" ht="15">
      <c r="A58" s="299" t="s">
        <v>347</v>
      </c>
      <c r="B58" s="299"/>
      <c r="C58" s="299"/>
      <c r="D58" s="299"/>
      <c r="E58" s="299"/>
      <c r="F58" s="299"/>
      <c r="G58" s="299"/>
      <c r="H58" s="299"/>
    </row>
    <row r="59" spans="1:8" ht="15">
      <c r="A59" s="299"/>
      <c r="B59" s="299"/>
      <c r="C59" s="299"/>
      <c r="D59" s="299"/>
      <c r="E59" s="299"/>
      <c r="F59" s="299"/>
      <c r="G59" s="299"/>
      <c r="H59" s="299"/>
    </row>
    <row r="60" spans="1:8" ht="15">
      <c r="A60" s="299" t="s">
        <v>348</v>
      </c>
      <c r="B60" s="299"/>
      <c r="C60" s="299"/>
      <c r="D60" s="299"/>
      <c r="E60" s="299"/>
      <c r="F60" s="299"/>
      <c r="G60" s="299"/>
      <c r="H60" s="299"/>
    </row>
    <row r="61" spans="1:8" ht="15">
      <c r="A61" s="299" t="s">
        <v>349</v>
      </c>
      <c r="B61" s="299"/>
      <c r="C61" s="299"/>
      <c r="D61" s="299"/>
      <c r="E61" s="299"/>
      <c r="F61" s="299"/>
      <c r="G61" s="299"/>
      <c r="H61" s="299"/>
    </row>
    <row r="62" spans="1:8" ht="15">
      <c r="A62" s="299" t="s">
        <v>350</v>
      </c>
      <c r="B62" s="299"/>
      <c r="C62" s="299"/>
      <c r="D62" s="299"/>
      <c r="E62" s="299"/>
      <c r="F62" s="299"/>
      <c r="G62" s="299"/>
      <c r="H62" s="299"/>
    </row>
    <row r="63" spans="1:8" ht="15">
      <c r="A63" s="299" t="s">
        <v>351</v>
      </c>
      <c r="B63" s="299"/>
      <c r="C63" s="299"/>
      <c r="D63" s="299"/>
      <c r="E63" s="299"/>
      <c r="F63" s="299"/>
      <c r="G63" s="299"/>
      <c r="H63" s="299"/>
    </row>
    <row r="64" spans="1:8" ht="15">
      <c r="A64" s="299" t="s">
        <v>352</v>
      </c>
      <c r="B64" s="299"/>
      <c r="C64" s="299"/>
      <c r="D64" s="299"/>
      <c r="E64" s="299"/>
      <c r="F64" s="299"/>
      <c r="G64" s="299"/>
      <c r="H64" s="299"/>
    </row>
    <row r="65" spans="1:8" ht="15">
      <c r="A65" s="299" t="s">
        <v>353</v>
      </c>
      <c r="B65" s="299"/>
      <c r="C65" s="299"/>
      <c r="D65" s="299"/>
      <c r="E65" s="299"/>
      <c r="F65" s="299"/>
      <c r="G65" s="299"/>
      <c r="H65" s="299"/>
    </row>
    <row r="66" spans="1:8" ht="15">
      <c r="A66" s="299"/>
      <c r="B66" s="299"/>
      <c r="C66" s="299"/>
      <c r="D66" s="299"/>
      <c r="E66" s="299"/>
      <c r="F66" s="299"/>
      <c r="G66" s="299"/>
      <c r="H66" s="299"/>
    </row>
    <row r="67" spans="1:8" ht="15">
      <c r="A67" s="299" t="s">
        <v>354</v>
      </c>
      <c r="B67" s="299"/>
      <c r="C67" s="299"/>
      <c r="D67" s="299"/>
      <c r="E67" s="299"/>
      <c r="F67" s="299"/>
      <c r="G67" s="299"/>
      <c r="H67" s="299"/>
    </row>
    <row r="68" spans="1:8" ht="15">
      <c r="A68" s="299" t="s">
        <v>355</v>
      </c>
      <c r="B68" s="299"/>
      <c r="C68" s="299"/>
      <c r="D68" s="299"/>
      <c r="E68" s="299"/>
      <c r="F68" s="299"/>
      <c r="G68" s="299"/>
      <c r="H68" s="299"/>
    </row>
    <row r="69" spans="1:8" ht="15">
      <c r="A69" s="299" t="s">
        <v>356</v>
      </c>
      <c r="B69" s="299"/>
      <c r="C69" s="299"/>
      <c r="D69" s="299"/>
      <c r="E69" s="299"/>
      <c r="F69" s="299"/>
      <c r="G69" s="299"/>
      <c r="H69" s="299"/>
    </row>
    <row r="70" spans="1:8" ht="15">
      <c r="A70" s="299" t="s">
        <v>357</v>
      </c>
      <c r="B70" s="299"/>
      <c r="C70" s="299"/>
      <c r="D70" s="299"/>
      <c r="E70" s="299"/>
      <c r="F70" s="299"/>
      <c r="G70" s="299"/>
      <c r="H70" s="299"/>
    </row>
    <row r="71" spans="1:8" ht="15">
      <c r="A71" s="299" t="s">
        <v>358</v>
      </c>
      <c r="B71" s="299"/>
      <c r="C71" s="299"/>
      <c r="D71" s="299"/>
      <c r="E71" s="299"/>
      <c r="F71" s="299"/>
      <c r="G71" s="299"/>
      <c r="H71" s="299"/>
    </row>
    <row r="72" spans="1:8" ht="15">
      <c r="A72" s="299" t="s">
        <v>359</v>
      </c>
      <c r="B72" s="299"/>
      <c r="C72" s="299"/>
      <c r="D72" s="299"/>
      <c r="E72" s="299"/>
      <c r="F72" s="299"/>
      <c r="G72" s="299"/>
      <c r="H72" s="299"/>
    </row>
    <row r="73" spans="1:8" ht="15">
      <c r="A73" s="299" t="s">
        <v>360</v>
      </c>
      <c r="B73" s="299"/>
      <c r="C73" s="299"/>
      <c r="D73" s="299"/>
      <c r="E73" s="299"/>
      <c r="F73" s="299"/>
      <c r="G73" s="299"/>
      <c r="H73" s="299"/>
    </row>
    <row r="74" spans="1:8" ht="15">
      <c r="A74" s="299"/>
      <c r="B74" s="299"/>
      <c r="C74" s="299"/>
      <c r="D74" s="299"/>
      <c r="E74" s="299"/>
      <c r="F74" s="299"/>
      <c r="G74" s="299"/>
      <c r="H74" s="299"/>
    </row>
    <row r="75" spans="1:8" ht="15">
      <c r="A75" s="299" t="s">
        <v>361</v>
      </c>
      <c r="B75" s="299"/>
      <c r="C75" s="299"/>
      <c r="D75" s="299"/>
      <c r="E75" s="299"/>
      <c r="F75" s="299"/>
      <c r="G75" s="299"/>
      <c r="H75" s="299"/>
    </row>
    <row r="76" spans="1:8" ht="15">
      <c r="A76" s="299" t="s">
        <v>362</v>
      </c>
      <c r="B76" s="299"/>
      <c r="C76" s="299"/>
      <c r="D76" s="299"/>
      <c r="E76" s="299"/>
      <c r="F76" s="299"/>
      <c r="G76" s="299"/>
      <c r="H76" s="299"/>
    </row>
    <row r="77" spans="1:8" ht="15">
      <c r="A77" s="299" t="s">
        <v>363</v>
      </c>
      <c r="B77" s="299"/>
      <c r="C77" s="299"/>
      <c r="D77" s="299"/>
      <c r="E77" s="299"/>
      <c r="F77" s="299"/>
      <c r="G77" s="299"/>
      <c r="H77" s="299"/>
    </row>
    <row r="78" spans="1:8" ht="15">
      <c r="A78" s="299"/>
      <c r="B78" s="299"/>
      <c r="C78" s="299"/>
      <c r="D78" s="299"/>
      <c r="E78" s="299"/>
      <c r="F78" s="299"/>
      <c r="G78" s="299"/>
      <c r="H78" s="299"/>
    </row>
    <row r="79" ht="15">
      <c r="A79" s="299" t="s">
        <v>308</v>
      </c>
    </row>
    <row r="80" ht="15">
      <c r="A80" s="300"/>
    </row>
    <row r="81" ht="15">
      <c r="A81" s="299"/>
    </row>
    <row r="82" ht="15">
      <c r="A82" s="299"/>
    </row>
    <row r="83" ht="15">
      <c r="A83" s="299"/>
    </row>
    <row r="84" ht="15">
      <c r="A84" s="299"/>
    </row>
    <row r="85" ht="15">
      <c r="A85" s="299"/>
    </row>
    <row r="86" ht="15">
      <c r="A86" s="299"/>
    </row>
    <row r="87" ht="15">
      <c r="A87" s="299"/>
    </row>
    <row r="88" ht="15">
      <c r="A88" s="299"/>
    </row>
    <row r="89" ht="15">
      <c r="A89" s="299"/>
    </row>
    <row r="90" ht="15">
      <c r="A90" s="299"/>
    </row>
    <row r="91" ht="15">
      <c r="A91" s="299"/>
    </row>
    <row r="92" ht="15">
      <c r="A92" s="299"/>
    </row>
    <row r="93" ht="15">
      <c r="A93" s="299"/>
    </row>
    <row r="94" ht="15">
      <c r="A94" s="299"/>
    </row>
    <row r="95" ht="15">
      <c r="A95" s="299"/>
    </row>
    <row r="96" ht="15">
      <c r="A96" s="299"/>
    </row>
    <row r="97" ht="15">
      <c r="A97" s="299"/>
    </row>
    <row r="98" ht="15">
      <c r="A98" s="299"/>
    </row>
    <row r="99" ht="15">
      <c r="A99" s="299"/>
    </row>
    <row r="100" ht="15">
      <c r="A100" s="299"/>
    </row>
    <row r="101" ht="15">
      <c r="A101" s="299"/>
    </row>
    <row r="103" ht="15">
      <c r="A103" s="299"/>
    </row>
    <row r="104" ht="15">
      <c r="A104" s="299"/>
    </row>
    <row r="105" ht="15">
      <c r="A105" s="299"/>
    </row>
    <row r="107" ht="15">
      <c r="A107" s="300"/>
    </row>
    <row r="108" ht="15">
      <c r="A108" s="300"/>
    </row>
    <row r="109" ht="15">
      <c r="A109" s="30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N100" sqref="N100"/>
    </sheetView>
  </sheetViews>
  <sheetFormatPr defaultColWidth="8.796875" defaultRowHeight="15"/>
  <cols>
    <col min="1" max="1" width="71.296875" style="0" customWidth="1"/>
  </cols>
  <sheetData>
    <row r="3" spans="1:12" ht="15">
      <c r="A3" s="298" t="s">
        <v>364</v>
      </c>
      <c r="B3" s="298"/>
      <c r="C3" s="298"/>
      <c r="D3" s="298"/>
      <c r="E3" s="298"/>
      <c r="F3" s="298"/>
      <c r="G3" s="298"/>
      <c r="H3" s="298"/>
      <c r="I3" s="298"/>
      <c r="J3" s="298"/>
      <c r="K3" s="298"/>
      <c r="L3" s="298"/>
    </row>
    <row r="4" spans="1:12" ht="15">
      <c r="A4" s="298"/>
      <c r="B4" s="298"/>
      <c r="C4" s="298"/>
      <c r="D4" s="298"/>
      <c r="E4" s="298"/>
      <c r="F4" s="298"/>
      <c r="G4" s="298"/>
      <c r="H4" s="298"/>
      <c r="I4" s="298"/>
      <c r="J4" s="298"/>
      <c r="K4" s="298"/>
      <c r="L4" s="298"/>
    </row>
    <row r="5" spans="1:12" ht="15">
      <c r="A5" s="299" t="s">
        <v>264</v>
      </c>
      <c r="I5" s="298"/>
      <c r="J5" s="298"/>
      <c r="K5" s="298"/>
      <c r="L5" s="298"/>
    </row>
    <row r="6" spans="1:12" ht="15">
      <c r="A6" s="299" t="str">
        <f>CONCATENATE("estimated ",inputPrYr!D22-1," 'total expenditures' exceed your ",inputPrYr!D22-1,"")</f>
        <v>estimated -1 'total expenditures' exceed your -1</v>
      </c>
      <c r="I6" s="298"/>
      <c r="J6" s="298"/>
      <c r="K6" s="298"/>
      <c r="L6" s="298"/>
    </row>
    <row r="7" spans="1:12" ht="15">
      <c r="A7" s="302" t="s">
        <v>365</v>
      </c>
      <c r="I7" s="298"/>
      <c r="J7" s="298"/>
      <c r="K7" s="298"/>
      <c r="L7" s="298"/>
    </row>
    <row r="8" spans="1:12" ht="15">
      <c r="A8" s="299"/>
      <c r="I8" s="298"/>
      <c r="J8" s="298"/>
      <c r="K8" s="298"/>
      <c r="L8" s="298"/>
    </row>
    <row r="9" spans="1:12" ht="15">
      <c r="A9" s="299" t="s">
        <v>366</v>
      </c>
      <c r="I9" s="298"/>
      <c r="J9" s="298"/>
      <c r="K9" s="298"/>
      <c r="L9" s="298"/>
    </row>
    <row r="10" spans="1:12" ht="15">
      <c r="A10" s="299" t="s">
        <v>367</v>
      </c>
      <c r="I10" s="298"/>
      <c r="J10" s="298"/>
      <c r="K10" s="298"/>
      <c r="L10" s="298"/>
    </row>
    <row r="11" spans="1:12" ht="15">
      <c r="A11" s="299" t="s">
        <v>368</v>
      </c>
      <c r="I11" s="298"/>
      <c r="J11" s="298"/>
      <c r="K11" s="298"/>
      <c r="L11" s="298"/>
    </row>
    <row r="12" spans="1:12" ht="15">
      <c r="A12" s="299" t="s">
        <v>369</v>
      </c>
      <c r="I12" s="298"/>
      <c r="J12" s="298"/>
      <c r="K12" s="298"/>
      <c r="L12" s="298"/>
    </row>
    <row r="13" spans="1:12" ht="15">
      <c r="A13" s="299" t="s">
        <v>370</v>
      </c>
      <c r="I13" s="298"/>
      <c r="J13" s="298"/>
      <c r="K13" s="298"/>
      <c r="L13" s="298"/>
    </row>
    <row r="14" spans="1:12" ht="15">
      <c r="A14" s="298"/>
      <c r="B14" s="298"/>
      <c r="C14" s="298"/>
      <c r="D14" s="298"/>
      <c r="E14" s="298"/>
      <c r="F14" s="298"/>
      <c r="G14" s="298"/>
      <c r="H14" s="298"/>
      <c r="I14" s="298"/>
      <c r="J14" s="298"/>
      <c r="K14" s="298"/>
      <c r="L14" s="298"/>
    </row>
    <row r="15" ht="15">
      <c r="A15" s="300" t="s">
        <v>371</v>
      </c>
    </row>
    <row r="16" ht="15">
      <c r="A16" s="300" t="s">
        <v>372</v>
      </c>
    </row>
    <row r="17" ht="15">
      <c r="A17" s="300"/>
    </row>
    <row r="18" spans="1:7" ht="15">
      <c r="A18" s="299" t="s">
        <v>373</v>
      </c>
      <c r="B18" s="299"/>
      <c r="C18" s="299"/>
      <c r="D18" s="299"/>
      <c r="E18" s="299"/>
      <c r="F18" s="299"/>
      <c r="G18" s="299"/>
    </row>
    <row r="19" spans="1:7" ht="15">
      <c r="A19" s="299" t="str">
        <f>CONCATENATE("your ",inputPrYr!D22-1," numbers to see what steps might be necessary to")</f>
        <v>your -1 numbers to see what steps might be necessary to</v>
      </c>
      <c r="B19" s="299"/>
      <c r="C19" s="299"/>
      <c r="D19" s="299"/>
      <c r="E19" s="299"/>
      <c r="F19" s="299"/>
      <c r="G19" s="299"/>
    </row>
    <row r="20" spans="1:7" ht="15">
      <c r="A20" s="299" t="s">
        <v>374</v>
      </c>
      <c r="B20" s="299"/>
      <c r="C20" s="299"/>
      <c r="D20" s="299"/>
      <c r="E20" s="299"/>
      <c r="F20" s="299"/>
      <c r="G20" s="299"/>
    </row>
    <row r="21" spans="1:7" ht="15">
      <c r="A21" s="299" t="s">
        <v>375</v>
      </c>
      <c r="B21" s="299"/>
      <c r="C21" s="299"/>
      <c r="D21" s="299"/>
      <c r="E21" s="299"/>
      <c r="F21" s="299"/>
      <c r="G21" s="299"/>
    </row>
    <row r="22" ht="15">
      <c r="A22" s="299"/>
    </row>
    <row r="23" ht="15">
      <c r="A23" s="300" t="s">
        <v>376</v>
      </c>
    </row>
    <row r="24" ht="15">
      <c r="A24" s="300"/>
    </row>
    <row r="25" ht="15">
      <c r="A25" s="299" t="s">
        <v>377</v>
      </c>
    </row>
    <row r="26" spans="1:6" ht="15">
      <c r="A26" s="299" t="s">
        <v>378</v>
      </c>
      <c r="B26" s="299"/>
      <c r="C26" s="299"/>
      <c r="D26" s="299"/>
      <c r="E26" s="299"/>
      <c r="F26" s="299"/>
    </row>
    <row r="27" spans="1:6" ht="15">
      <c r="A27" s="299" t="s">
        <v>379</v>
      </c>
      <c r="B27" s="299"/>
      <c r="C27" s="299"/>
      <c r="D27" s="299"/>
      <c r="E27" s="299"/>
      <c r="F27" s="299"/>
    </row>
    <row r="28" spans="1:6" ht="15">
      <c r="A28" s="299" t="s">
        <v>380</v>
      </c>
      <c r="B28" s="299"/>
      <c r="C28" s="299"/>
      <c r="D28" s="299"/>
      <c r="E28" s="299"/>
      <c r="F28" s="299"/>
    </row>
    <row r="29" spans="1:6" ht="15">
      <c r="A29" s="299"/>
      <c r="B29" s="299"/>
      <c r="C29" s="299"/>
      <c r="D29" s="299"/>
      <c r="E29" s="299"/>
      <c r="F29" s="299"/>
    </row>
    <row r="30" spans="1:7" ht="15">
      <c r="A30" s="300" t="s">
        <v>381</v>
      </c>
      <c r="B30" s="300"/>
      <c r="C30" s="300"/>
      <c r="D30" s="300"/>
      <c r="E30" s="300"/>
      <c r="F30" s="300"/>
      <c r="G30" s="300"/>
    </row>
    <row r="31" spans="1:7" ht="15">
      <c r="A31" s="300" t="s">
        <v>382</v>
      </c>
      <c r="B31" s="300"/>
      <c r="C31" s="300"/>
      <c r="D31" s="300"/>
      <c r="E31" s="300"/>
      <c r="F31" s="300"/>
      <c r="G31" s="300"/>
    </row>
    <row r="32" spans="1:6" ht="15">
      <c r="A32" s="299"/>
      <c r="B32" s="299"/>
      <c r="C32" s="299"/>
      <c r="D32" s="299"/>
      <c r="E32" s="299"/>
      <c r="F32" s="299"/>
    </row>
    <row r="33" spans="1:6" ht="15">
      <c r="A33" s="303" t="str">
        <f>CONCATENATE("Well, let's look to see if any of your ",inputPrYr!D22-1," expenditures can")</f>
        <v>Well, let's look to see if any of your -1 expenditures can</v>
      </c>
      <c r="B33" s="299"/>
      <c r="C33" s="299"/>
      <c r="D33" s="299"/>
      <c r="E33" s="299"/>
      <c r="F33" s="299"/>
    </row>
    <row r="34" spans="1:6" ht="15">
      <c r="A34" s="303" t="s">
        <v>383</v>
      </c>
      <c r="B34" s="299"/>
      <c r="C34" s="299"/>
      <c r="D34" s="299"/>
      <c r="E34" s="299"/>
      <c r="F34" s="299"/>
    </row>
    <row r="35" spans="1:6" ht="15">
      <c r="A35" s="303" t="s">
        <v>278</v>
      </c>
      <c r="B35" s="299"/>
      <c r="C35" s="299"/>
      <c r="D35" s="299"/>
      <c r="E35" s="299"/>
      <c r="F35" s="299"/>
    </row>
    <row r="36" spans="1:6" ht="15">
      <c r="A36" s="303" t="s">
        <v>279</v>
      </c>
      <c r="B36" s="299"/>
      <c r="C36" s="299"/>
      <c r="D36" s="299"/>
      <c r="E36" s="299"/>
      <c r="F36" s="299"/>
    </row>
    <row r="37" spans="1:6" ht="15">
      <c r="A37" s="303"/>
      <c r="B37" s="299"/>
      <c r="C37" s="299"/>
      <c r="D37" s="299"/>
      <c r="E37" s="299"/>
      <c r="F37" s="299"/>
    </row>
    <row r="38" spans="1:6" ht="15">
      <c r="A38" s="303" t="str">
        <f>CONCATENATE("Additionally, do your ",'[1]inputPrYr'!D11-1," receipts contain a reimbursement")</f>
        <v>Additionally, do your -1 receipts contain a reimbursement</v>
      </c>
      <c r="B38" s="299"/>
      <c r="C38" s="299"/>
      <c r="D38" s="299"/>
      <c r="E38" s="299"/>
      <c r="F38" s="299"/>
    </row>
    <row r="39" spans="1:6" ht="15">
      <c r="A39" s="303" t="s">
        <v>280</v>
      </c>
      <c r="B39" s="299"/>
      <c r="C39" s="299"/>
      <c r="D39" s="299"/>
      <c r="E39" s="299"/>
      <c r="F39" s="299"/>
    </row>
    <row r="40" spans="1:6" ht="15">
      <c r="A40" s="303" t="s">
        <v>281</v>
      </c>
      <c r="B40" s="299"/>
      <c r="C40" s="299"/>
      <c r="D40" s="299"/>
      <c r="E40" s="299"/>
      <c r="F40" s="299"/>
    </row>
    <row r="41" spans="1:6" ht="15">
      <c r="A41" s="303"/>
      <c r="B41" s="299"/>
      <c r="C41" s="299"/>
      <c r="D41" s="299"/>
      <c r="E41" s="299"/>
      <c r="F41" s="299"/>
    </row>
    <row r="42" spans="1:6" ht="15">
      <c r="A42" s="303" t="s">
        <v>384</v>
      </c>
      <c r="B42" s="299"/>
      <c r="C42" s="299"/>
      <c r="D42" s="299"/>
      <c r="E42" s="299"/>
      <c r="F42" s="299"/>
    </row>
    <row r="43" spans="1:6" ht="15">
      <c r="A43" s="303" t="s">
        <v>385</v>
      </c>
      <c r="B43" s="299"/>
      <c r="C43" s="299"/>
      <c r="D43" s="299"/>
      <c r="E43" s="299"/>
      <c r="F43" s="299"/>
    </row>
    <row r="44" spans="1:6" ht="15">
      <c r="A44" s="303" t="s">
        <v>386</v>
      </c>
      <c r="B44" s="299"/>
      <c r="C44" s="299"/>
      <c r="D44" s="299"/>
      <c r="E44" s="299"/>
      <c r="F44" s="299"/>
    </row>
    <row r="45" spans="1:6" ht="15">
      <c r="A45" s="303" t="s">
        <v>387</v>
      </c>
      <c r="B45" s="299"/>
      <c r="C45" s="299"/>
      <c r="D45" s="299"/>
      <c r="E45" s="299"/>
      <c r="F45" s="299"/>
    </row>
    <row r="46" spans="1:6" ht="15">
      <c r="A46" s="303" t="s">
        <v>388</v>
      </c>
      <c r="B46" s="299"/>
      <c r="C46" s="299"/>
      <c r="D46" s="299"/>
      <c r="E46" s="299"/>
      <c r="F46" s="299"/>
    </row>
    <row r="47" spans="1:6" ht="15">
      <c r="A47" s="303"/>
      <c r="B47" s="299"/>
      <c r="C47" s="299"/>
      <c r="D47" s="299"/>
      <c r="E47" s="299"/>
      <c r="F47" s="299"/>
    </row>
    <row r="48" spans="1:6" ht="15">
      <c r="A48" s="304" t="s">
        <v>389</v>
      </c>
      <c r="B48" s="299"/>
      <c r="C48" s="299"/>
      <c r="D48" s="299"/>
      <c r="E48" s="299"/>
      <c r="F48" s="299"/>
    </row>
    <row r="49" spans="1:6" ht="15">
      <c r="A49" s="304" t="s">
        <v>390</v>
      </c>
      <c r="B49" s="299"/>
      <c r="C49" s="299"/>
      <c r="D49" s="299"/>
      <c r="E49" s="299"/>
      <c r="F49" s="299"/>
    </row>
    <row r="50" spans="1:6" ht="15">
      <c r="A50" s="304" t="s">
        <v>391</v>
      </c>
      <c r="B50" s="299"/>
      <c r="C50" s="299"/>
      <c r="D50" s="299"/>
      <c r="E50" s="299"/>
      <c r="F50" s="299"/>
    </row>
    <row r="51" ht="15">
      <c r="A51" s="304" t="s">
        <v>392</v>
      </c>
    </row>
    <row r="52" ht="15">
      <c r="A52" s="304" t="s">
        <v>393</v>
      </c>
    </row>
    <row r="53" ht="15">
      <c r="A53" s="304" t="s">
        <v>394</v>
      </c>
    </row>
    <row r="55" ht="15">
      <c r="A55" s="299" t="s">
        <v>395</v>
      </c>
    </row>
    <row r="56" ht="15">
      <c r="A56" s="299" t="s">
        <v>396</v>
      </c>
    </row>
    <row r="57" ht="15">
      <c r="A57" s="299" t="s">
        <v>397</v>
      </c>
    </row>
    <row r="58" ht="15">
      <c r="A58" s="299" t="s">
        <v>398</v>
      </c>
    </row>
    <row r="59" ht="15">
      <c r="A59" s="299" t="s">
        <v>399</v>
      </c>
    </row>
    <row r="60" ht="15">
      <c r="A60" s="299" t="s">
        <v>400</v>
      </c>
    </row>
    <row r="62" ht="15">
      <c r="A62" s="299" t="s">
        <v>308</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N106" sqref="N106"/>
    </sheetView>
  </sheetViews>
  <sheetFormatPr defaultColWidth="8.796875" defaultRowHeight="15"/>
  <cols>
    <col min="1" max="1" width="71.296875" style="0" customWidth="1"/>
  </cols>
  <sheetData>
    <row r="3" spans="1:7" ht="15">
      <c r="A3" s="298" t="s">
        <v>401</v>
      </c>
      <c r="B3" s="298"/>
      <c r="C3" s="298"/>
      <c r="D3" s="298"/>
      <c r="E3" s="298"/>
      <c r="F3" s="298"/>
      <c r="G3" s="298"/>
    </row>
    <row r="4" spans="1:7" ht="15">
      <c r="A4" s="298"/>
      <c r="B4" s="298"/>
      <c r="C4" s="298"/>
      <c r="D4" s="298"/>
      <c r="E4" s="298"/>
      <c r="F4" s="298"/>
      <c r="G4" s="298"/>
    </row>
    <row r="5" ht="15">
      <c r="A5" s="299" t="s">
        <v>310</v>
      </c>
    </row>
    <row r="6" ht="15">
      <c r="A6" s="299" t="str">
        <f>CONCATENATE(inputPrYr!D22-1," estimated expenditures show that at the end of this year")</f>
        <v>-1 estimated expenditures show that at the end of this year</v>
      </c>
    </row>
    <row r="7" ht="15">
      <c r="A7" s="299" t="s">
        <v>402</v>
      </c>
    </row>
    <row r="8" ht="15">
      <c r="A8" s="299" t="s">
        <v>403</v>
      </c>
    </row>
    <row r="10" ht="15">
      <c r="A10" t="s">
        <v>312</v>
      </c>
    </row>
    <row r="11" ht="15">
      <c r="A11" t="s">
        <v>313</v>
      </c>
    </row>
    <row r="12" ht="15">
      <c r="A12" t="s">
        <v>314</v>
      </c>
    </row>
    <row r="13" spans="1:7" ht="15">
      <c r="A13" s="298"/>
      <c r="B13" s="298"/>
      <c r="C13" s="298"/>
      <c r="D13" s="298"/>
      <c r="E13" s="298"/>
      <c r="F13" s="298"/>
      <c r="G13" s="298"/>
    </row>
    <row r="14" ht="15">
      <c r="A14" s="300" t="s">
        <v>404</v>
      </c>
    </row>
    <row r="15" ht="15">
      <c r="A15" s="299"/>
    </row>
    <row r="16" ht="15">
      <c r="A16" s="299" t="s">
        <v>405</v>
      </c>
    </row>
    <row r="17" ht="15">
      <c r="A17" s="299" t="s">
        <v>406</v>
      </c>
    </row>
    <row r="18" ht="15">
      <c r="A18" s="299" t="s">
        <v>407</v>
      </c>
    </row>
    <row r="19" ht="15">
      <c r="A19" s="299"/>
    </row>
    <row r="20" ht="15">
      <c r="A20" s="299" t="s">
        <v>408</v>
      </c>
    </row>
    <row r="21" ht="15">
      <c r="A21" s="299" t="s">
        <v>409</v>
      </c>
    </row>
    <row r="22" ht="15">
      <c r="A22" s="299" t="s">
        <v>410</v>
      </c>
    </row>
    <row r="23" ht="15">
      <c r="A23" s="299" t="s">
        <v>411</v>
      </c>
    </row>
    <row r="24" ht="15">
      <c r="A24" s="299"/>
    </row>
    <row r="25" ht="15">
      <c r="A25" s="300" t="s">
        <v>376</v>
      </c>
    </row>
    <row r="26" ht="15">
      <c r="A26" s="300"/>
    </row>
    <row r="27" ht="15">
      <c r="A27" s="299" t="s">
        <v>377</v>
      </c>
    </row>
    <row r="28" spans="1:6" ht="15">
      <c r="A28" s="299" t="s">
        <v>378</v>
      </c>
      <c r="B28" s="299"/>
      <c r="C28" s="299"/>
      <c r="D28" s="299"/>
      <c r="E28" s="299"/>
      <c r="F28" s="299"/>
    </row>
    <row r="29" spans="1:6" ht="15">
      <c r="A29" s="299" t="s">
        <v>379</v>
      </c>
      <c r="B29" s="299"/>
      <c r="C29" s="299"/>
      <c r="D29" s="299"/>
      <c r="E29" s="299"/>
      <c r="F29" s="299"/>
    </row>
    <row r="30" spans="1:6" ht="15">
      <c r="A30" s="299" t="s">
        <v>380</v>
      </c>
      <c r="B30" s="299"/>
      <c r="C30" s="299"/>
      <c r="D30" s="299"/>
      <c r="E30" s="299"/>
      <c r="F30" s="299"/>
    </row>
    <row r="31" ht="15">
      <c r="A31" s="299"/>
    </row>
    <row r="32" spans="1:7" ht="15">
      <c r="A32" s="300" t="s">
        <v>381</v>
      </c>
      <c r="B32" s="300"/>
      <c r="C32" s="300"/>
      <c r="D32" s="300"/>
      <c r="E32" s="300"/>
      <c r="F32" s="300"/>
      <c r="G32" s="300"/>
    </row>
    <row r="33" spans="1:7" ht="15">
      <c r="A33" s="300" t="s">
        <v>382</v>
      </c>
      <c r="B33" s="300"/>
      <c r="C33" s="300"/>
      <c r="D33" s="300"/>
      <c r="E33" s="300"/>
      <c r="F33" s="300"/>
      <c r="G33" s="300"/>
    </row>
    <row r="34" spans="1:7" ht="15">
      <c r="A34" s="300"/>
      <c r="B34" s="300"/>
      <c r="C34" s="300"/>
      <c r="D34" s="300"/>
      <c r="E34" s="300"/>
      <c r="F34" s="300"/>
      <c r="G34" s="300"/>
    </row>
    <row r="35" spans="1:7" ht="15">
      <c r="A35" s="299" t="s">
        <v>412</v>
      </c>
      <c r="B35" s="299"/>
      <c r="C35" s="299"/>
      <c r="D35" s="299"/>
      <c r="E35" s="299"/>
      <c r="F35" s="299"/>
      <c r="G35" s="299"/>
    </row>
    <row r="36" spans="1:7" ht="15">
      <c r="A36" s="299" t="s">
        <v>413</v>
      </c>
      <c r="B36" s="299"/>
      <c r="C36" s="299"/>
      <c r="D36" s="299"/>
      <c r="E36" s="299"/>
      <c r="F36" s="299"/>
      <c r="G36" s="299"/>
    </row>
    <row r="37" spans="1:7" ht="15">
      <c r="A37" s="299" t="s">
        <v>414</v>
      </c>
      <c r="B37" s="299"/>
      <c r="C37" s="299"/>
      <c r="D37" s="299"/>
      <c r="E37" s="299"/>
      <c r="F37" s="299"/>
      <c r="G37" s="299"/>
    </row>
    <row r="38" spans="1:7" ht="15">
      <c r="A38" s="299" t="s">
        <v>415</v>
      </c>
      <c r="B38" s="299"/>
      <c r="C38" s="299"/>
      <c r="D38" s="299"/>
      <c r="E38" s="299"/>
      <c r="F38" s="299"/>
      <c r="G38" s="299"/>
    </row>
    <row r="39" spans="1:7" ht="15">
      <c r="A39" s="299" t="s">
        <v>416</v>
      </c>
      <c r="B39" s="299"/>
      <c r="C39" s="299"/>
      <c r="D39" s="299"/>
      <c r="E39" s="299"/>
      <c r="F39" s="299"/>
      <c r="G39" s="299"/>
    </row>
    <row r="40" spans="1:7" ht="15">
      <c r="A40" s="300"/>
      <c r="B40" s="300"/>
      <c r="C40" s="300"/>
      <c r="D40" s="300"/>
      <c r="E40" s="300"/>
      <c r="F40" s="300"/>
      <c r="G40" s="300"/>
    </row>
    <row r="41" spans="1:6" ht="15">
      <c r="A41" s="303" t="str">
        <f>CONCATENATE("So, let's look to see if any of your ",inputPrYr!D22-1," expenditures can")</f>
        <v>So, let's look to see if any of your -1 expenditures can</v>
      </c>
      <c r="B41" s="299"/>
      <c r="C41" s="299"/>
      <c r="D41" s="299"/>
      <c r="E41" s="299"/>
      <c r="F41" s="299"/>
    </row>
    <row r="42" spans="1:6" ht="15">
      <c r="A42" s="303" t="s">
        <v>383</v>
      </c>
      <c r="B42" s="299"/>
      <c r="C42" s="299"/>
      <c r="D42" s="299"/>
      <c r="E42" s="299"/>
      <c r="F42" s="299"/>
    </row>
    <row r="43" spans="1:6" ht="15">
      <c r="A43" s="303" t="s">
        <v>278</v>
      </c>
      <c r="B43" s="299"/>
      <c r="C43" s="299"/>
      <c r="D43" s="299"/>
      <c r="E43" s="299"/>
      <c r="F43" s="299"/>
    </row>
    <row r="44" spans="1:6" ht="15">
      <c r="A44" s="303" t="s">
        <v>279</v>
      </c>
      <c r="B44" s="299"/>
      <c r="C44" s="299"/>
      <c r="D44" s="299"/>
      <c r="E44" s="299"/>
      <c r="F44" s="299"/>
    </row>
    <row r="45" ht="15">
      <c r="A45" s="299"/>
    </row>
    <row r="46" spans="1:6" ht="15">
      <c r="A46" s="303" t="str">
        <f>CONCATENATE("Additionally, do your ",inputPrYr!D22-1," receipts contain a reimbursement")</f>
        <v>Additionally, do your -1 receipts contain a reimbursement</v>
      </c>
      <c r="B46" s="299"/>
      <c r="C46" s="299"/>
      <c r="D46" s="299"/>
      <c r="E46" s="299"/>
      <c r="F46" s="299"/>
    </row>
    <row r="47" spans="1:6" ht="15">
      <c r="A47" s="303" t="s">
        <v>280</v>
      </c>
      <c r="B47" s="299"/>
      <c r="C47" s="299"/>
      <c r="D47" s="299"/>
      <c r="E47" s="299"/>
      <c r="F47" s="299"/>
    </row>
    <row r="48" spans="1:6" ht="15">
      <c r="A48" s="303" t="s">
        <v>281</v>
      </c>
      <c r="B48" s="299"/>
      <c r="C48" s="299"/>
      <c r="D48" s="299"/>
      <c r="E48" s="299"/>
      <c r="F48" s="299"/>
    </row>
    <row r="49" spans="1:7" ht="15">
      <c r="A49" s="299"/>
      <c r="B49" s="299"/>
      <c r="C49" s="299"/>
      <c r="D49" s="299"/>
      <c r="E49" s="299"/>
      <c r="F49" s="299"/>
      <c r="G49" s="299"/>
    </row>
    <row r="50" spans="1:7" ht="15">
      <c r="A50" s="299" t="s">
        <v>337</v>
      </c>
      <c r="B50" s="299"/>
      <c r="C50" s="299"/>
      <c r="D50" s="299"/>
      <c r="E50" s="299"/>
      <c r="F50" s="299"/>
      <c r="G50" s="299"/>
    </row>
    <row r="51" spans="1:7" ht="15">
      <c r="A51" s="299" t="s">
        <v>338</v>
      </c>
      <c r="B51" s="299"/>
      <c r="C51" s="299"/>
      <c r="D51" s="299"/>
      <c r="E51" s="299"/>
      <c r="F51" s="299"/>
      <c r="G51" s="299"/>
    </row>
    <row r="52" spans="1:7" ht="15">
      <c r="A52" s="299" t="s">
        <v>339</v>
      </c>
      <c r="B52" s="299"/>
      <c r="C52" s="299"/>
      <c r="D52" s="299"/>
      <c r="E52" s="299"/>
      <c r="F52" s="299"/>
      <c r="G52" s="299"/>
    </row>
    <row r="53" spans="1:7" ht="15">
      <c r="A53" s="299" t="s">
        <v>340</v>
      </c>
      <c r="B53" s="299"/>
      <c r="C53" s="299"/>
      <c r="D53" s="299"/>
      <c r="E53" s="299"/>
      <c r="F53" s="299"/>
      <c r="G53" s="299"/>
    </row>
    <row r="54" spans="1:7" ht="15">
      <c r="A54" s="299" t="s">
        <v>341</v>
      </c>
      <c r="B54" s="299"/>
      <c r="C54" s="299"/>
      <c r="D54" s="299"/>
      <c r="E54" s="299"/>
      <c r="F54" s="299"/>
      <c r="G54" s="299"/>
    </row>
    <row r="55" spans="1:7" ht="15">
      <c r="A55" s="299"/>
      <c r="B55" s="299"/>
      <c r="C55" s="299"/>
      <c r="D55" s="299"/>
      <c r="E55" s="299"/>
      <c r="F55" s="299"/>
      <c r="G55" s="299"/>
    </row>
    <row r="56" spans="1:6" ht="15">
      <c r="A56" s="303" t="s">
        <v>417</v>
      </c>
      <c r="B56" s="299"/>
      <c r="C56" s="299"/>
      <c r="D56" s="299"/>
      <c r="E56" s="299"/>
      <c r="F56" s="299"/>
    </row>
    <row r="57" spans="1:6" ht="15">
      <c r="A57" s="303" t="s">
        <v>418</v>
      </c>
      <c r="B57" s="299"/>
      <c r="C57" s="299"/>
      <c r="D57" s="299"/>
      <c r="E57" s="299"/>
      <c r="F57" s="299"/>
    </row>
    <row r="58" spans="1:6" ht="15">
      <c r="A58" s="303" t="s">
        <v>419</v>
      </c>
      <c r="B58" s="299"/>
      <c r="C58" s="299"/>
      <c r="D58" s="299"/>
      <c r="E58" s="299"/>
      <c r="F58" s="299"/>
    </row>
    <row r="59" spans="1:6" ht="15">
      <c r="A59" s="303"/>
      <c r="B59" s="299"/>
      <c r="C59" s="299"/>
      <c r="D59" s="299"/>
      <c r="E59" s="299"/>
      <c r="F59" s="299"/>
    </row>
    <row r="60" spans="1:7" ht="15">
      <c r="A60" s="299" t="s">
        <v>420</v>
      </c>
      <c r="B60" s="299"/>
      <c r="C60" s="299"/>
      <c r="D60" s="299"/>
      <c r="E60" s="299"/>
      <c r="F60" s="299"/>
      <c r="G60" s="299"/>
    </row>
    <row r="61" spans="1:7" ht="15">
      <c r="A61" s="299" t="s">
        <v>421</v>
      </c>
      <c r="B61" s="299"/>
      <c r="C61" s="299"/>
      <c r="D61" s="299"/>
      <c r="E61" s="299"/>
      <c r="F61" s="299"/>
      <c r="G61" s="299"/>
    </row>
    <row r="62" spans="1:7" ht="15">
      <c r="A62" s="299" t="s">
        <v>422</v>
      </c>
      <c r="B62" s="299"/>
      <c r="C62" s="299"/>
      <c r="D62" s="299"/>
      <c r="E62" s="299"/>
      <c r="F62" s="299"/>
      <c r="G62" s="299"/>
    </row>
    <row r="63" spans="1:7" ht="15">
      <c r="A63" s="299" t="s">
        <v>423</v>
      </c>
      <c r="B63" s="299"/>
      <c r="C63" s="299"/>
      <c r="D63" s="299"/>
      <c r="E63" s="299"/>
      <c r="F63" s="299"/>
      <c r="G63" s="299"/>
    </row>
    <row r="64" spans="1:7" ht="15">
      <c r="A64" s="299" t="s">
        <v>424</v>
      </c>
      <c r="B64" s="299"/>
      <c r="C64" s="299"/>
      <c r="D64" s="299"/>
      <c r="E64" s="299"/>
      <c r="F64" s="299"/>
      <c r="G64" s="299"/>
    </row>
    <row r="66" spans="1:6" ht="15">
      <c r="A66" s="303" t="s">
        <v>384</v>
      </c>
      <c r="B66" s="299"/>
      <c r="C66" s="299"/>
      <c r="D66" s="299"/>
      <c r="E66" s="299"/>
      <c r="F66" s="299"/>
    </row>
    <row r="67" spans="1:6" ht="15">
      <c r="A67" s="303" t="s">
        <v>385</v>
      </c>
      <c r="B67" s="299"/>
      <c r="C67" s="299"/>
      <c r="D67" s="299"/>
      <c r="E67" s="299"/>
      <c r="F67" s="299"/>
    </row>
    <row r="68" spans="1:6" ht="15">
      <c r="A68" s="303" t="s">
        <v>386</v>
      </c>
      <c r="B68" s="299"/>
      <c r="C68" s="299"/>
      <c r="D68" s="299"/>
      <c r="E68" s="299"/>
      <c r="F68" s="299"/>
    </row>
    <row r="69" spans="1:6" ht="15">
      <c r="A69" s="303" t="s">
        <v>387</v>
      </c>
      <c r="B69" s="299"/>
      <c r="C69" s="299"/>
      <c r="D69" s="299"/>
      <c r="E69" s="299"/>
      <c r="F69" s="299"/>
    </row>
    <row r="70" spans="1:6" ht="15">
      <c r="A70" s="303" t="s">
        <v>388</v>
      </c>
      <c r="B70" s="299"/>
      <c r="C70" s="299"/>
      <c r="D70" s="299"/>
      <c r="E70" s="299"/>
      <c r="F70" s="299"/>
    </row>
    <row r="71" ht="15">
      <c r="A71" s="299"/>
    </row>
    <row r="72" ht="15">
      <c r="A72" s="299" t="s">
        <v>308</v>
      </c>
    </row>
    <row r="73" ht="15">
      <c r="A73" s="299"/>
    </row>
    <row r="74" ht="15">
      <c r="A74" s="299"/>
    </row>
    <row r="75" ht="15">
      <c r="A75" s="299"/>
    </row>
    <row r="78" ht="15">
      <c r="A78" s="300"/>
    </row>
    <row r="80" ht="15">
      <c r="A80" s="299"/>
    </row>
    <row r="81" ht="15">
      <c r="A81" s="299"/>
    </row>
    <row r="82" ht="15">
      <c r="A82" s="299"/>
    </row>
    <row r="83" ht="15">
      <c r="A83" s="299"/>
    </row>
    <row r="84" ht="15">
      <c r="A84" s="299"/>
    </row>
    <row r="85" ht="15">
      <c r="A85" s="299"/>
    </row>
    <row r="86" ht="15">
      <c r="A86" s="299"/>
    </row>
    <row r="87" ht="15">
      <c r="A87" s="299"/>
    </row>
    <row r="88" ht="15">
      <c r="A88" s="299"/>
    </row>
    <row r="89" ht="15">
      <c r="A89" s="299"/>
    </row>
    <row r="90" ht="15">
      <c r="A90" s="299"/>
    </row>
    <row r="92" ht="15">
      <c r="A92" s="299"/>
    </row>
    <row r="93" ht="15">
      <c r="A93" s="299"/>
    </row>
    <row r="94" ht="15">
      <c r="A94" s="299"/>
    </row>
    <row r="95" ht="15">
      <c r="A95" s="299"/>
    </row>
    <row r="96" ht="15">
      <c r="A96" s="299"/>
    </row>
    <row r="97" ht="15">
      <c r="A97" s="299"/>
    </row>
    <row r="98" ht="15">
      <c r="A98" s="299"/>
    </row>
    <row r="99" ht="15">
      <c r="A99" s="299"/>
    </row>
    <row r="100" ht="15">
      <c r="A100" s="299"/>
    </row>
    <row r="101" ht="15">
      <c r="A101" s="299"/>
    </row>
    <row r="102" ht="15">
      <c r="A102" s="299"/>
    </row>
    <row r="103" ht="15">
      <c r="A103" s="299"/>
    </row>
    <row r="104" ht="15">
      <c r="A104" s="299"/>
    </row>
    <row r="105" ht="15">
      <c r="A105" s="299"/>
    </row>
    <row r="106" ht="15">
      <c r="A106" s="299"/>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N101" sqref="N101"/>
    </sheetView>
  </sheetViews>
  <sheetFormatPr defaultColWidth="8.796875" defaultRowHeight="15"/>
  <cols>
    <col min="1" max="1" width="71.296875" style="0" customWidth="1"/>
  </cols>
  <sheetData>
    <row r="3" spans="1:7" ht="15">
      <c r="A3" s="298" t="s">
        <v>425</v>
      </c>
      <c r="B3" s="298"/>
      <c r="C3" s="298"/>
      <c r="D3" s="298"/>
      <c r="E3" s="298"/>
      <c r="F3" s="298"/>
      <c r="G3" s="298"/>
    </row>
    <row r="4" spans="1:7" ht="15">
      <c r="A4" s="298" t="s">
        <v>426</v>
      </c>
      <c r="B4" s="298"/>
      <c r="C4" s="298"/>
      <c r="D4" s="298"/>
      <c r="E4" s="298"/>
      <c r="F4" s="298"/>
      <c r="G4" s="298"/>
    </row>
    <row r="5" spans="1:7" ht="15">
      <c r="A5" s="298"/>
      <c r="B5" s="298"/>
      <c r="C5" s="298"/>
      <c r="D5" s="298"/>
      <c r="E5" s="298"/>
      <c r="F5" s="298"/>
      <c r="G5" s="298"/>
    </row>
    <row r="6" spans="1:7" ht="15">
      <c r="A6" s="298"/>
      <c r="B6" s="298"/>
      <c r="C6" s="298"/>
      <c r="D6" s="298"/>
      <c r="E6" s="298"/>
      <c r="F6" s="298"/>
      <c r="G6" s="298"/>
    </row>
    <row r="7" ht="15">
      <c r="A7" s="299" t="s">
        <v>264</v>
      </c>
    </row>
    <row r="8" ht="15">
      <c r="A8" s="299" t="str">
        <f>CONCATENATE("estimated ",inputPrYr!D22," 'total expenditures' exceed your ",inputPrYr!D22,"")</f>
        <v>estimated  'total expenditures' exceed your </v>
      </c>
    </row>
    <row r="9" ht="15">
      <c r="A9" s="302" t="s">
        <v>427</v>
      </c>
    </row>
    <row r="10" ht="15">
      <c r="A10" s="299"/>
    </row>
    <row r="11" ht="15">
      <c r="A11" s="299" t="s">
        <v>428</v>
      </c>
    </row>
    <row r="12" ht="15">
      <c r="A12" s="299" t="s">
        <v>429</v>
      </c>
    </row>
    <row r="13" ht="15">
      <c r="A13" s="299" t="s">
        <v>430</v>
      </c>
    </row>
    <row r="14" ht="15">
      <c r="A14" s="299"/>
    </row>
    <row r="15" ht="15">
      <c r="A15" s="300" t="s">
        <v>431</v>
      </c>
    </row>
    <row r="16" spans="1:7" ht="15">
      <c r="A16" s="298"/>
      <c r="B16" s="298"/>
      <c r="C16" s="298"/>
      <c r="D16" s="298"/>
      <c r="E16" s="298"/>
      <c r="F16" s="298"/>
      <c r="G16" s="298"/>
    </row>
    <row r="17" spans="1:8" ht="15">
      <c r="A17" s="305" t="s">
        <v>432</v>
      </c>
      <c r="B17" s="306"/>
      <c r="C17" s="306"/>
      <c r="D17" s="306"/>
      <c r="E17" s="306"/>
      <c r="F17" s="306"/>
      <c r="G17" s="306"/>
      <c r="H17" s="306"/>
    </row>
    <row r="18" spans="1:7" ht="15">
      <c r="A18" s="299" t="s">
        <v>433</v>
      </c>
      <c r="B18" s="307"/>
      <c r="C18" s="307"/>
      <c r="D18" s="307"/>
      <c r="E18" s="307"/>
      <c r="F18" s="307"/>
      <c r="G18" s="307"/>
    </row>
    <row r="19" ht="15">
      <c r="A19" s="299" t="s">
        <v>434</v>
      </c>
    </row>
    <row r="20" ht="15">
      <c r="A20" s="299" t="s">
        <v>435</v>
      </c>
    </row>
    <row r="22" ht="15">
      <c r="A22" s="300" t="s">
        <v>436</v>
      </c>
    </row>
    <row r="24" ht="15">
      <c r="A24" s="299" t="s">
        <v>437</v>
      </c>
    </row>
    <row r="25" ht="15">
      <c r="A25" s="299" t="s">
        <v>438</v>
      </c>
    </row>
    <row r="26" ht="15">
      <c r="A26" s="299" t="s">
        <v>439</v>
      </c>
    </row>
    <row r="28" ht="15">
      <c r="A28" s="300" t="s">
        <v>440</v>
      </c>
    </row>
    <row r="30" ht="15">
      <c r="A30" t="s">
        <v>441</v>
      </c>
    </row>
    <row r="31" ht="15">
      <c r="A31" t="s">
        <v>442</v>
      </c>
    </row>
    <row r="32" ht="15">
      <c r="A32" t="s">
        <v>443</v>
      </c>
    </row>
    <row r="33" ht="15">
      <c r="A33" s="299" t="s">
        <v>444</v>
      </c>
    </row>
    <row r="35" ht="15">
      <c r="A35" t="s">
        <v>445</v>
      </c>
    </row>
    <row r="36" ht="15">
      <c r="A36" t="s">
        <v>446</v>
      </c>
    </row>
    <row r="37" ht="15">
      <c r="A37" t="s">
        <v>447</v>
      </c>
    </row>
    <row r="38" ht="15">
      <c r="A38" t="s">
        <v>448</v>
      </c>
    </row>
    <row r="40" ht="15">
      <c r="A40" t="s">
        <v>449</v>
      </c>
    </row>
    <row r="41" ht="15">
      <c r="A41" t="s">
        <v>450</v>
      </c>
    </row>
    <row r="42" ht="15">
      <c r="A42" t="s">
        <v>451</v>
      </c>
    </row>
    <row r="43" ht="15">
      <c r="A43" t="s">
        <v>452</v>
      </c>
    </row>
    <row r="44" ht="15">
      <c r="A44" t="s">
        <v>453</v>
      </c>
    </row>
    <row r="45" ht="15">
      <c r="A45" t="s">
        <v>454</v>
      </c>
    </row>
    <row r="47" ht="15">
      <c r="A47" t="s">
        <v>455</v>
      </c>
    </row>
    <row r="48" ht="15">
      <c r="A48" t="s">
        <v>456</v>
      </c>
    </row>
    <row r="49" ht="15">
      <c r="A49" s="299" t="s">
        <v>457</v>
      </c>
    </row>
    <row r="50" ht="15">
      <c r="A50" s="299" t="s">
        <v>458</v>
      </c>
    </row>
    <row r="52" ht="15">
      <c r="A52" t="s">
        <v>308</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V190" sqref="V190"/>
    </sheetView>
  </sheetViews>
  <sheetFormatPr defaultColWidth="8.796875" defaultRowHeight="15"/>
  <cols>
    <col min="1" max="1" width="7.59765625" style="328" customWidth="1"/>
    <col min="2" max="2" width="11.19921875" style="329" customWidth="1"/>
    <col min="3" max="3" width="7.3984375" style="329" customWidth="1"/>
    <col min="4" max="4" width="8.8984375" style="329" customWidth="1"/>
    <col min="5" max="5" width="1.59765625" style="329" customWidth="1"/>
    <col min="6" max="6" width="14.296875" style="329" customWidth="1"/>
    <col min="7" max="7" width="2.59765625" style="329" customWidth="1"/>
    <col min="8" max="8" width="9.796875" style="329" customWidth="1"/>
    <col min="9" max="9" width="2" style="329" customWidth="1"/>
    <col min="10" max="10" width="8.59765625" style="329" customWidth="1"/>
    <col min="11" max="11" width="11.69921875" style="329" customWidth="1"/>
    <col min="12" max="12" width="7.59765625" style="328" customWidth="1"/>
    <col min="13" max="14" width="8.8984375" style="328" customWidth="1"/>
    <col min="15" max="15" width="9.8984375" style="328" bestFit="1" customWidth="1"/>
    <col min="16" max="16384" width="8.8984375" style="328" customWidth="1"/>
  </cols>
  <sheetData>
    <row r="1" spans="1:12" ht="14.25">
      <c r="A1" s="327"/>
      <c r="B1" s="327"/>
      <c r="C1" s="327"/>
      <c r="D1" s="327"/>
      <c r="E1" s="327"/>
      <c r="F1" s="327"/>
      <c r="G1" s="327"/>
      <c r="H1" s="327"/>
      <c r="I1" s="327"/>
      <c r="J1" s="327"/>
      <c r="K1" s="327"/>
      <c r="L1" s="327"/>
    </row>
    <row r="2" spans="1:12" ht="14.25">
      <c r="A2" s="327"/>
      <c r="B2" s="327"/>
      <c r="C2" s="327"/>
      <c r="D2" s="327"/>
      <c r="E2" s="327"/>
      <c r="F2" s="327"/>
      <c r="G2" s="327"/>
      <c r="H2" s="327"/>
      <c r="I2" s="327"/>
      <c r="J2" s="327"/>
      <c r="K2" s="327"/>
      <c r="L2" s="327"/>
    </row>
    <row r="3" spans="1:12" ht="14.25">
      <c r="A3" s="327"/>
      <c r="B3" s="327"/>
      <c r="C3" s="327"/>
      <c r="D3" s="327"/>
      <c r="E3" s="327"/>
      <c r="F3" s="327"/>
      <c r="G3" s="327"/>
      <c r="H3" s="327"/>
      <c r="I3" s="327"/>
      <c r="J3" s="327"/>
      <c r="K3" s="327"/>
      <c r="L3" s="327"/>
    </row>
    <row r="4" spans="1:12" ht="14.25">
      <c r="A4" s="327"/>
      <c r="L4" s="327"/>
    </row>
    <row r="5" spans="1:12" ht="15" customHeight="1">
      <c r="A5" s="327"/>
      <c r="L5" s="327"/>
    </row>
    <row r="6" spans="1:12" ht="33" customHeight="1">
      <c r="A6" s="327"/>
      <c r="B6" s="987" t="s">
        <v>748</v>
      </c>
      <c r="C6" s="995"/>
      <c r="D6" s="995"/>
      <c r="E6" s="995"/>
      <c r="F6" s="995"/>
      <c r="G6" s="995"/>
      <c r="H6" s="995"/>
      <c r="I6" s="995"/>
      <c r="J6" s="995"/>
      <c r="K6" s="995"/>
      <c r="L6" s="330"/>
    </row>
    <row r="7" spans="1:12" ht="40.5" customHeight="1">
      <c r="A7" s="327"/>
      <c r="B7" s="1007" t="s">
        <v>472</v>
      </c>
      <c r="C7" s="1008"/>
      <c r="D7" s="1008"/>
      <c r="E7" s="1008"/>
      <c r="F7" s="1008"/>
      <c r="G7" s="1008"/>
      <c r="H7" s="1008"/>
      <c r="I7" s="1008"/>
      <c r="J7" s="1008"/>
      <c r="K7" s="1008"/>
      <c r="L7" s="327"/>
    </row>
    <row r="8" spans="1:12" ht="14.25">
      <c r="A8" s="327"/>
      <c r="B8" s="1004" t="s">
        <v>473</v>
      </c>
      <c r="C8" s="1004"/>
      <c r="D8" s="1004"/>
      <c r="E8" s="1004"/>
      <c r="F8" s="1004"/>
      <c r="G8" s="1004"/>
      <c r="H8" s="1004"/>
      <c r="I8" s="1004"/>
      <c r="J8" s="1004"/>
      <c r="K8" s="1004"/>
      <c r="L8" s="327"/>
    </row>
    <row r="9" spans="1:12" ht="14.25">
      <c r="A9" s="327"/>
      <c r="L9" s="327"/>
    </row>
    <row r="10" spans="1:12" ht="14.25">
      <c r="A10" s="327"/>
      <c r="B10" s="1004" t="s">
        <v>474</v>
      </c>
      <c r="C10" s="1004"/>
      <c r="D10" s="1004"/>
      <c r="E10" s="1004"/>
      <c r="F10" s="1004"/>
      <c r="G10" s="1004"/>
      <c r="H10" s="1004"/>
      <c r="I10" s="1004"/>
      <c r="J10" s="1004"/>
      <c r="K10" s="1004"/>
      <c r="L10" s="327"/>
    </row>
    <row r="11" spans="1:12" ht="14.25">
      <c r="A11" s="327"/>
      <c r="B11" s="464"/>
      <c r="C11" s="464"/>
      <c r="D11" s="464"/>
      <c r="E11" s="464"/>
      <c r="F11" s="464"/>
      <c r="G11" s="464"/>
      <c r="H11" s="464"/>
      <c r="I11" s="464"/>
      <c r="J11" s="464"/>
      <c r="K11" s="464"/>
      <c r="L11" s="327"/>
    </row>
    <row r="12" spans="1:12" ht="32.25" customHeight="1">
      <c r="A12" s="327"/>
      <c r="B12" s="988" t="s">
        <v>475</v>
      </c>
      <c r="C12" s="988"/>
      <c r="D12" s="988"/>
      <c r="E12" s="988"/>
      <c r="F12" s="988"/>
      <c r="G12" s="988"/>
      <c r="H12" s="988"/>
      <c r="I12" s="988"/>
      <c r="J12" s="988"/>
      <c r="K12" s="988"/>
      <c r="L12" s="327"/>
    </row>
    <row r="13" spans="1:12" ht="14.25">
      <c r="A13" s="327"/>
      <c r="L13" s="327"/>
    </row>
    <row r="14" spans="1:12" ht="14.25">
      <c r="A14" s="327"/>
      <c r="B14" s="331" t="s">
        <v>476</v>
      </c>
      <c r="L14" s="327"/>
    </row>
    <row r="15" spans="1:12" ht="14.25">
      <c r="A15" s="327"/>
      <c r="L15" s="327"/>
    </row>
    <row r="16" spans="1:12" ht="14.25">
      <c r="A16" s="327"/>
      <c r="B16" s="329" t="s">
        <v>477</v>
      </c>
      <c r="L16" s="327"/>
    </row>
    <row r="17" spans="1:12" ht="14.25">
      <c r="A17" s="327"/>
      <c r="B17" s="329" t="s">
        <v>478</v>
      </c>
      <c r="L17" s="327"/>
    </row>
    <row r="18" spans="1:12" ht="14.25">
      <c r="A18" s="327"/>
      <c r="L18" s="327"/>
    </row>
    <row r="19" spans="1:12" ht="14.25">
      <c r="A19" s="327"/>
      <c r="B19" s="331" t="s">
        <v>584</v>
      </c>
      <c r="L19" s="327"/>
    </row>
    <row r="20" spans="1:12" ht="14.25">
      <c r="A20" s="327"/>
      <c r="B20" s="331"/>
      <c r="L20" s="327"/>
    </row>
    <row r="21" spans="1:12" ht="14.25">
      <c r="A21" s="327"/>
      <c r="B21" s="329" t="s">
        <v>585</v>
      </c>
      <c r="L21" s="327"/>
    </row>
    <row r="22" spans="1:12" ht="14.25">
      <c r="A22" s="327"/>
      <c r="L22" s="327"/>
    </row>
    <row r="23" spans="1:12" ht="14.25">
      <c r="A23" s="327"/>
      <c r="B23" s="329" t="s">
        <v>479</v>
      </c>
      <c r="E23" s="329" t="s">
        <v>480</v>
      </c>
      <c r="F23" s="990">
        <v>312000000</v>
      </c>
      <c r="G23" s="990"/>
      <c r="L23" s="327"/>
    </row>
    <row r="24" spans="1:12" ht="14.25">
      <c r="A24" s="327"/>
      <c r="L24" s="327"/>
    </row>
    <row r="25" spans="1:12" ht="14.25">
      <c r="A25" s="327"/>
      <c r="C25" s="1005">
        <f>F23</f>
        <v>312000000</v>
      </c>
      <c r="D25" s="1005"/>
      <c r="E25" s="329" t="s">
        <v>481</v>
      </c>
      <c r="F25" s="332">
        <v>1000</v>
      </c>
      <c r="G25" s="332" t="s">
        <v>480</v>
      </c>
      <c r="H25" s="747">
        <f>F23/F25</f>
        <v>312000</v>
      </c>
      <c r="L25" s="327"/>
    </row>
    <row r="26" spans="1:12" ht="15" thickBot="1">
      <c r="A26" s="327"/>
      <c r="L26" s="327"/>
    </row>
    <row r="27" spans="1:12" ht="14.25">
      <c r="A27" s="327"/>
      <c r="B27" s="333" t="s">
        <v>476</v>
      </c>
      <c r="C27" s="334"/>
      <c r="D27" s="334"/>
      <c r="E27" s="334"/>
      <c r="F27" s="334"/>
      <c r="G27" s="334"/>
      <c r="H27" s="334"/>
      <c r="I27" s="334"/>
      <c r="J27" s="334"/>
      <c r="K27" s="335"/>
      <c r="L27" s="327"/>
    </row>
    <row r="28" spans="1:12" ht="14.25">
      <c r="A28" s="327"/>
      <c r="B28" s="336">
        <f>F23</f>
        <v>312000000</v>
      </c>
      <c r="C28" s="337" t="s">
        <v>482</v>
      </c>
      <c r="D28" s="337"/>
      <c r="E28" s="337" t="s">
        <v>481</v>
      </c>
      <c r="F28" s="468">
        <v>1000</v>
      </c>
      <c r="G28" s="468" t="s">
        <v>480</v>
      </c>
      <c r="H28" s="746">
        <f>B28/F28</f>
        <v>312000</v>
      </c>
      <c r="I28" s="337" t="s">
        <v>483</v>
      </c>
      <c r="J28" s="337"/>
      <c r="K28" s="338"/>
      <c r="L28" s="327"/>
    </row>
    <row r="29" spans="1:12" ht="15" thickBot="1">
      <c r="A29" s="327"/>
      <c r="B29" s="339"/>
      <c r="C29" s="340"/>
      <c r="D29" s="340"/>
      <c r="E29" s="340"/>
      <c r="F29" s="340"/>
      <c r="G29" s="340"/>
      <c r="H29" s="340"/>
      <c r="I29" s="340"/>
      <c r="J29" s="340"/>
      <c r="K29" s="341"/>
      <c r="L29" s="327"/>
    </row>
    <row r="30" spans="1:12" ht="40.5" customHeight="1">
      <c r="A30" s="327"/>
      <c r="B30" s="992" t="s">
        <v>472</v>
      </c>
      <c r="C30" s="992"/>
      <c r="D30" s="992"/>
      <c r="E30" s="992"/>
      <c r="F30" s="992"/>
      <c r="G30" s="992"/>
      <c r="H30" s="992"/>
      <c r="I30" s="992"/>
      <c r="J30" s="992"/>
      <c r="K30" s="992"/>
      <c r="L30" s="327"/>
    </row>
    <row r="31" spans="1:12" ht="14.25">
      <c r="A31" s="327"/>
      <c r="B31" s="1004" t="s">
        <v>484</v>
      </c>
      <c r="C31" s="1004"/>
      <c r="D31" s="1004"/>
      <c r="E31" s="1004"/>
      <c r="F31" s="1004"/>
      <c r="G31" s="1004"/>
      <c r="H31" s="1004"/>
      <c r="I31" s="1004"/>
      <c r="J31" s="1004"/>
      <c r="K31" s="1004"/>
      <c r="L31" s="327"/>
    </row>
    <row r="32" spans="1:12" ht="14.25">
      <c r="A32" s="327"/>
      <c r="L32" s="327"/>
    </row>
    <row r="33" spans="1:12" ht="14.25">
      <c r="A33" s="327"/>
      <c r="B33" s="1004" t="s">
        <v>485</v>
      </c>
      <c r="C33" s="1004"/>
      <c r="D33" s="1004"/>
      <c r="E33" s="1004"/>
      <c r="F33" s="1004"/>
      <c r="G33" s="1004"/>
      <c r="H33" s="1004"/>
      <c r="I33" s="1004"/>
      <c r="J33" s="1004"/>
      <c r="K33" s="1004"/>
      <c r="L33" s="327"/>
    </row>
    <row r="34" spans="1:12" ht="14.25">
      <c r="A34" s="327"/>
      <c r="L34" s="327"/>
    </row>
    <row r="35" spans="1:12" ht="89.25" customHeight="1">
      <c r="A35" s="327"/>
      <c r="B35" s="988" t="s">
        <v>486</v>
      </c>
      <c r="C35" s="998"/>
      <c r="D35" s="998"/>
      <c r="E35" s="998"/>
      <c r="F35" s="998"/>
      <c r="G35" s="998"/>
      <c r="H35" s="998"/>
      <c r="I35" s="998"/>
      <c r="J35" s="998"/>
      <c r="K35" s="998"/>
      <c r="L35" s="327"/>
    </row>
    <row r="36" spans="1:12" ht="14.25">
      <c r="A36" s="327"/>
      <c r="L36" s="327"/>
    </row>
    <row r="37" spans="1:12" ht="14.25">
      <c r="A37" s="327"/>
      <c r="B37" s="331" t="s">
        <v>487</v>
      </c>
      <c r="L37" s="327"/>
    </row>
    <row r="38" spans="1:12" ht="14.25">
      <c r="A38" s="327"/>
      <c r="L38" s="327"/>
    </row>
    <row r="39" spans="1:12" ht="14.25">
      <c r="A39" s="327"/>
      <c r="B39" s="329" t="s">
        <v>488</v>
      </c>
      <c r="L39" s="327"/>
    </row>
    <row r="40" spans="1:12" ht="14.25">
      <c r="A40" s="327"/>
      <c r="L40" s="327"/>
    </row>
    <row r="41" spans="1:12" ht="14.25">
      <c r="A41" s="327"/>
      <c r="C41" s="1006">
        <v>312000000</v>
      </c>
      <c r="D41" s="1006"/>
      <c r="E41" s="329" t="s">
        <v>481</v>
      </c>
      <c r="F41" s="332">
        <v>1000</v>
      </c>
      <c r="G41" s="332" t="s">
        <v>480</v>
      </c>
      <c r="H41" s="745">
        <f>C41/F41</f>
        <v>312000</v>
      </c>
      <c r="L41" s="327"/>
    </row>
    <row r="42" spans="1:12" ht="14.25">
      <c r="A42" s="327"/>
      <c r="L42" s="327"/>
    </row>
    <row r="43" spans="1:12" ht="14.25">
      <c r="A43" s="327"/>
      <c r="B43" s="329" t="s">
        <v>489</v>
      </c>
      <c r="L43" s="327"/>
    </row>
    <row r="44" spans="1:12" ht="14.25">
      <c r="A44" s="327"/>
      <c r="L44" s="327"/>
    </row>
    <row r="45" spans="1:12" ht="14.25">
      <c r="A45" s="327"/>
      <c r="B45" s="329" t="s">
        <v>490</v>
      </c>
      <c r="L45" s="327"/>
    </row>
    <row r="46" spans="1:12" ht="15" thickBot="1">
      <c r="A46" s="327"/>
      <c r="L46" s="327"/>
    </row>
    <row r="47" spans="1:12" ht="14.25">
      <c r="A47" s="327"/>
      <c r="B47" s="342" t="s">
        <v>476</v>
      </c>
      <c r="C47" s="334"/>
      <c r="D47" s="334"/>
      <c r="E47" s="334"/>
      <c r="F47" s="334"/>
      <c r="G47" s="334"/>
      <c r="H47" s="334"/>
      <c r="I47" s="334"/>
      <c r="J47" s="334"/>
      <c r="K47" s="335"/>
      <c r="L47" s="327"/>
    </row>
    <row r="48" spans="1:12" ht="14.25">
      <c r="A48" s="327"/>
      <c r="B48" s="999">
        <v>312000000</v>
      </c>
      <c r="C48" s="990"/>
      <c r="D48" s="337" t="s">
        <v>491</v>
      </c>
      <c r="E48" s="337" t="s">
        <v>481</v>
      </c>
      <c r="F48" s="468">
        <v>1000</v>
      </c>
      <c r="G48" s="468" t="s">
        <v>480</v>
      </c>
      <c r="H48" s="746">
        <f>B48/F48</f>
        <v>312000</v>
      </c>
      <c r="I48" s="337" t="s">
        <v>492</v>
      </c>
      <c r="J48" s="337"/>
      <c r="K48" s="338"/>
      <c r="L48" s="327"/>
    </row>
    <row r="49" spans="1:12" ht="14.25">
      <c r="A49" s="327"/>
      <c r="B49" s="343"/>
      <c r="C49" s="337"/>
      <c r="D49" s="337"/>
      <c r="E49" s="337"/>
      <c r="F49" s="337"/>
      <c r="G49" s="337"/>
      <c r="H49" s="337"/>
      <c r="I49" s="337"/>
      <c r="J49" s="337"/>
      <c r="K49" s="338"/>
      <c r="L49" s="327"/>
    </row>
    <row r="50" spans="1:12" ht="14.25">
      <c r="A50" s="327"/>
      <c r="B50" s="344">
        <v>50000</v>
      </c>
      <c r="C50" s="337" t="s">
        <v>493</v>
      </c>
      <c r="D50" s="337"/>
      <c r="E50" s="337" t="s">
        <v>481</v>
      </c>
      <c r="F50" s="746">
        <f>H48</f>
        <v>312000</v>
      </c>
      <c r="G50" s="1000" t="s">
        <v>494</v>
      </c>
      <c r="H50" s="1001"/>
      <c r="I50" s="468" t="s">
        <v>480</v>
      </c>
      <c r="J50" s="345">
        <f>B50/F50</f>
        <v>0.16025641025641027</v>
      </c>
      <c r="K50" s="338"/>
      <c r="L50" s="327"/>
    </row>
    <row r="51" spans="1:15" ht="15" thickBot="1">
      <c r="A51" s="327"/>
      <c r="B51" s="339"/>
      <c r="C51" s="340"/>
      <c r="D51" s="340"/>
      <c r="E51" s="340"/>
      <c r="F51" s="340"/>
      <c r="G51" s="340"/>
      <c r="H51" s="340"/>
      <c r="I51" s="1002" t="s">
        <v>495</v>
      </c>
      <c r="J51" s="1002"/>
      <c r="K51" s="1003"/>
      <c r="L51" s="327"/>
      <c r="O51" s="346"/>
    </row>
    <row r="52" spans="1:12" ht="40.5" customHeight="1">
      <c r="A52" s="327"/>
      <c r="B52" s="992" t="s">
        <v>472</v>
      </c>
      <c r="C52" s="992"/>
      <c r="D52" s="992"/>
      <c r="E52" s="992"/>
      <c r="F52" s="992"/>
      <c r="G52" s="992"/>
      <c r="H52" s="992"/>
      <c r="I52" s="992"/>
      <c r="J52" s="992"/>
      <c r="K52" s="992"/>
      <c r="L52" s="327"/>
    </row>
    <row r="53" spans="1:12" ht="14.25">
      <c r="A53" s="327"/>
      <c r="B53" s="1004" t="s">
        <v>496</v>
      </c>
      <c r="C53" s="1004"/>
      <c r="D53" s="1004"/>
      <c r="E53" s="1004"/>
      <c r="F53" s="1004"/>
      <c r="G53" s="1004"/>
      <c r="H53" s="1004"/>
      <c r="I53" s="1004"/>
      <c r="J53" s="1004"/>
      <c r="K53" s="1004"/>
      <c r="L53" s="327"/>
    </row>
    <row r="54" spans="1:12" ht="14.25">
      <c r="A54" s="327"/>
      <c r="B54" s="464"/>
      <c r="C54" s="464"/>
      <c r="D54" s="464"/>
      <c r="E54" s="464"/>
      <c r="F54" s="464"/>
      <c r="G54" s="464"/>
      <c r="H54" s="464"/>
      <c r="I54" s="464"/>
      <c r="J54" s="464"/>
      <c r="K54" s="464"/>
      <c r="L54" s="327"/>
    </row>
    <row r="55" spans="1:12" ht="14.25">
      <c r="A55" s="327"/>
      <c r="B55" s="987" t="s">
        <v>497</v>
      </c>
      <c r="C55" s="987"/>
      <c r="D55" s="987"/>
      <c r="E55" s="987"/>
      <c r="F55" s="987"/>
      <c r="G55" s="987"/>
      <c r="H55" s="987"/>
      <c r="I55" s="987"/>
      <c r="J55" s="987"/>
      <c r="K55" s="987"/>
      <c r="L55" s="327"/>
    </row>
    <row r="56" spans="1:12" ht="15" customHeight="1">
      <c r="A56" s="327"/>
      <c r="L56" s="327"/>
    </row>
    <row r="57" spans="1:24" ht="74.25" customHeight="1">
      <c r="A57" s="327"/>
      <c r="B57" s="988" t="s">
        <v>498</v>
      </c>
      <c r="C57" s="998"/>
      <c r="D57" s="998"/>
      <c r="E57" s="998"/>
      <c r="F57" s="998"/>
      <c r="G57" s="998"/>
      <c r="H57" s="998"/>
      <c r="I57" s="998"/>
      <c r="J57" s="998"/>
      <c r="K57" s="998"/>
      <c r="L57" s="327"/>
      <c r="M57" s="347"/>
      <c r="N57" s="348"/>
      <c r="O57" s="348"/>
      <c r="P57" s="348"/>
      <c r="Q57" s="348"/>
      <c r="R57" s="348"/>
      <c r="S57" s="348"/>
      <c r="T57" s="348"/>
      <c r="U57" s="348"/>
      <c r="V57" s="348"/>
      <c r="W57" s="348"/>
      <c r="X57" s="348"/>
    </row>
    <row r="58" spans="1:24" ht="15" customHeight="1">
      <c r="A58" s="327"/>
      <c r="B58" s="988"/>
      <c r="C58" s="998"/>
      <c r="D58" s="998"/>
      <c r="E58" s="998"/>
      <c r="F58" s="998"/>
      <c r="G58" s="998"/>
      <c r="H58" s="998"/>
      <c r="I58" s="998"/>
      <c r="J58" s="998"/>
      <c r="K58" s="998"/>
      <c r="L58" s="327"/>
      <c r="M58" s="347"/>
      <c r="N58" s="348"/>
      <c r="O58" s="348"/>
      <c r="P58" s="348"/>
      <c r="Q58" s="348"/>
      <c r="R58" s="348"/>
      <c r="S58" s="348"/>
      <c r="T58" s="348"/>
      <c r="U58" s="348"/>
      <c r="V58" s="348"/>
      <c r="W58" s="348"/>
      <c r="X58" s="348"/>
    </row>
    <row r="59" spans="1:24" ht="14.25">
      <c r="A59" s="327"/>
      <c r="B59" s="331" t="s">
        <v>487</v>
      </c>
      <c r="L59" s="327"/>
      <c r="M59" s="348"/>
      <c r="N59" s="348"/>
      <c r="O59" s="348"/>
      <c r="P59" s="348"/>
      <c r="Q59" s="348"/>
      <c r="R59" s="348"/>
      <c r="S59" s="348"/>
      <c r="T59" s="348"/>
      <c r="U59" s="348"/>
      <c r="V59" s="348"/>
      <c r="W59" s="348"/>
      <c r="X59" s="348"/>
    </row>
    <row r="60" spans="1:24" ht="14.25">
      <c r="A60" s="327"/>
      <c r="L60" s="327"/>
      <c r="M60" s="348"/>
      <c r="N60" s="348"/>
      <c r="O60" s="348"/>
      <c r="P60" s="348"/>
      <c r="Q60" s="348"/>
      <c r="R60" s="348"/>
      <c r="S60" s="348"/>
      <c r="T60" s="348"/>
      <c r="U60" s="348"/>
      <c r="V60" s="348"/>
      <c r="W60" s="348"/>
      <c r="X60" s="348"/>
    </row>
    <row r="61" spans="1:24" ht="14.25">
      <c r="A61" s="327"/>
      <c r="B61" s="329" t="s">
        <v>499</v>
      </c>
      <c r="L61" s="327"/>
      <c r="M61" s="348"/>
      <c r="N61" s="348"/>
      <c r="O61" s="348"/>
      <c r="P61" s="348"/>
      <c r="Q61" s="348"/>
      <c r="R61" s="348"/>
      <c r="S61" s="348"/>
      <c r="T61" s="348"/>
      <c r="U61" s="348"/>
      <c r="V61" s="348"/>
      <c r="W61" s="348"/>
      <c r="X61" s="348"/>
    </row>
    <row r="62" spans="1:24" ht="14.25">
      <c r="A62" s="327"/>
      <c r="B62" s="329" t="s">
        <v>586</v>
      </c>
      <c r="L62" s="327"/>
      <c r="M62" s="348"/>
      <c r="N62" s="348"/>
      <c r="O62" s="348"/>
      <c r="P62" s="348"/>
      <c r="Q62" s="348"/>
      <c r="R62" s="348"/>
      <c r="S62" s="348"/>
      <c r="T62" s="348"/>
      <c r="U62" s="348"/>
      <c r="V62" s="348"/>
      <c r="W62" s="348"/>
      <c r="X62" s="348"/>
    </row>
    <row r="63" spans="1:24" ht="14.25">
      <c r="A63" s="327"/>
      <c r="B63" s="329" t="s">
        <v>587</v>
      </c>
      <c r="L63" s="327"/>
      <c r="M63" s="348"/>
      <c r="N63" s="348"/>
      <c r="O63" s="348"/>
      <c r="P63" s="348"/>
      <c r="Q63" s="348"/>
      <c r="R63" s="348"/>
      <c r="S63" s="348"/>
      <c r="T63" s="348"/>
      <c r="U63" s="348"/>
      <c r="V63" s="348"/>
      <c r="W63" s="348"/>
      <c r="X63" s="348"/>
    </row>
    <row r="64" spans="1:24" ht="14.25">
      <c r="A64" s="327"/>
      <c r="L64" s="327"/>
      <c r="M64" s="348"/>
      <c r="N64" s="348"/>
      <c r="O64" s="348"/>
      <c r="P64" s="348"/>
      <c r="Q64" s="348"/>
      <c r="R64" s="348"/>
      <c r="S64" s="348"/>
      <c r="T64" s="348"/>
      <c r="U64" s="348"/>
      <c r="V64" s="348"/>
      <c r="W64" s="348"/>
      <c r="X64" s="348"/>
    </row>
    <row r="65" spans="1:24" ht="14.25">
      <c r="A65" s="327"/>
      <c r="B65" s="329" t="s">
        <v>500</v>
      </c>
      <c r="L65" s="327"/>
      <c r="M65" s="348"/>
      <c r="N65" s="348"/>
      <c r="O65" s="348"/>
      <c r="P65" s="348"/>
      <c r="Q65" s="348"/>
      <c r="R65" s="348"/>
      <c r="S65" s="348"/>
      <c r="T65" s="348"/>
      <c r="U65" s="348"/>
      <c r="V65" s="348"/>
      <c r="W65" s="348"/>
      <c r="X65" s="348"/>
    </row>
    <row r="66" spans="1:24" ht="14.25">
      <c r="A66" s="327"/>
      <c r="B66" s="329" t="s">
        <v>501</v>
      </c>
      <c r="L66" s="327"/>
      <c r="M66" s="348"/>
      <c r="N66" s="348"/>
      <c r="O66" s="348"/>
      <c r="P66" s="348"/>
      <c r="Q66" s="348"/>
      <c r="R66" s="348"/>
      <c r="S66" s="348"/>
      <c r="T66" s="348"/>
      <c r="U66" s="348"/>
      <c r="V66" s="348"/>
      <c r="W66" s="348"/>
      <c r="X66" s="348"/>
    </row>
    <row r="67" spans="1:24" ht="14.25">
      <c r="A67" s="327"/>
      <c r="L67" s="327"/>
      <c r="M67" s="348"/>
      <c r="N67" s="348"/>
      <c r="O67" s="348"/>
      <c r="P67" s="348"/>
      <c r="Q67" s="348"/>
      <c r="R67" s="348"/>
      <c r="S67" s="348"/>
      <c r="T67" s="348"/>
      <c r="U67" s="348"/>
      <c r="V67" s="348"/>
      <c r="W67" s="348"/>
      <c r="X67" s="348"/>
    </row>
    <row r="68" spans="1:24" ht="14.25">
      <c r="A68" s="327"/>
      <c r="B68" s="329" t="s">
        <v>502</v>
      </c>
      <c r="L68" s="327"/>
      <c r="M68" s="349"/>
      <c r="N68" s="350"/>
      <c r="O68" s="350"/>
      <c r="P68" s="350"/>
      <c r="Q68" s="350"/>
      <c r="R68" s="350"/>
      <c r="S68" s="350"/>
      <c r="T68" s="350"/>
      <c r="U68" s="350"/>
      <c r="V68" s="350"/>
      <c r="W68" s="350"/>
      <c r="X68" s="348"/>
    </row>
    <row r="69" spans="1:24" ht="14.25">
      <c r="A69" s="327"/>
      <c r="B69" s="329" t="s">
        <v>588</v>
      </c>
      <c r="L69" s="327"/>
      <c r="M69" s="348"/>
      <c r="N69" s="348"/>
      <c r="O69" s="348"/>
      <c r="P69" s="348"/>
      <c r="Q69" s="348"/>
      <c r="R69" s="348"/>
      <c r="S69" s="348"/>
      <c r="T69" s="348"/>
      <c r="U69" s="348"/>
      <c r="V69" s="348"/>
      <c r="W69" s="348"/>
      <c r="X69" s="348"/>
    </row>
    <row r="70" spans="1:24" ht="14.25">
      <c r="A70" s="327"/>
      <c r="B70" s="329" t="s">
        <v>589</v>
      </c>
      <c r="L70" s="327"/>
      <c r="M70" s="348"/>
      <c r="N70" s="348"/>
      <c r="O70" s="348"/>
      <c r="P70" s="348"/>
      <c r="Q70" s="348"/>
      <c r="R70" s="348"/>
      <c r="S70" s="348"/>
      <c r="T70" s="348"/>
      <c r="U70" s="348"/>
      <c r="V70" s="348"/>
      <c r="W70" s="348"/>
      <c r="X70" s="348"/>
    </row>
    <row r="71" spans="1:12" ht="15" thickBot="1">
      <c r="A71" s="327"/>
      <c r="B71" s="337"/>
      <c r="C71" s="337"/>
      <c r="D71" s="337"/>
      <c r="E71" s="337"/>
      <c r="F71" s="337"/>
      <c r="G71" s="337"/>
      <c r="H71" s="337"/>
      <c r="I71" s="337"/>
      <c r="J71" s="337"/>
      <c r="K71" s="337"/>
      <c r="L71" s="327"/>
    </row>
    <row r="72" spans="1:12" ht="14.25">
      <c r="A72" s="327"/>
      <c r="B72" s="333" t="s">
        <v>476</v>
      </c>
      <c r="C72" s="334"/>
      <c r="D72" s="334"/>
      <c r="E72" s="334"/>
      <c r="F72" s="334"/>
      <c r="G72" s="334"/>
      <c r="H72" s="334"/>
      <c r="I72" s="334"/>
      <c r="J72" s="334"/>
      <c r="K72" s="335"/>
      <c r="L72" s="351"/>
    </row>
    <row r="73" spans="1:12" ht="14.25">
      <c r="A73" s="327"/>
      <c r="B73" s="343"/>
      <c r="C73" s="337" t="s">
        <v>482</v>
      </c>
      <c r="D73" s="337"/>
      <c r="E73" s="337"/>
      <c r="F73" s="337"/>
      <c r="G73" s="337"/>
      <c r="H73" s="337"/>
      <c r="I73" s="337"/>
      <c r="J73" s="337"/>
      <c r="K73" s="338"/>
      <c r="L73" s="351"/>
    </row>
    <row r="74" spans="1:12" ht="14.25">
      <c r="A74" s="327"/>
      <c r="B74" s="343" t="s">
        <v>503</v>
      </c>
      <c r="C74" s="990">
        <v>312000000</v>
      </c>
      <c r="D74" s="990"/>
      <c r="E74" s="468" t="s">
        <v>481</v>
      </c>
      <c r="F74" s="468">
        <v>1000</v>
      </c>
      <c r="G74" s="468" t="s">
        <v>480</v>
      </c>
      <c r="H74" s="738">
        <f>C74/F74</f>
        <v>312000</v>
      </c>
      <c r="I74" s="337" t="s">
        <v>504</v>
      </c>
      <c r="J74" s="337"/>
      <c r="K74" s="338"/>
      <c r="L74" s="351"/>
    </row>
    <row r="75" spans="1:12" ht="14.25">
      <c r="A75" s="327"/>
      <c r="B75" s="343"/>
      <c r="C75" s="337"/>
      <c r="D75" s="337"/>
      <c r="E75" s="468"/>
      <c r="F75" s="337"/>
      <c r="G75" s="337"/>
      <c r="H75" s="337"/>
      <c r="I75" s="337"/>
      <c r="J75" s="337"/>
      <c r="K75" s="338"/>
      <c r="L75" s="351"/>
    </row>
    <row r="76" spans="1:12" ht="14.25">
      <c r="A76" s="327"/>
      <c r="B76" s="343"/>
      <c r="C76" s="337" t="s">
        <v>505</v>
      </c>
      <c r="D76" s="337"/>
      <c r="E76" s="468"/>
      <c r="F76" s="337" t="s">
        <v>504</v>
      </c>
      <c r="G76" s="337"/>
      <c r="H76" s="337"/>
      <c r="I76" s="337"/>
      <c r="J76" s="337"/>
      <c r="K76" s="338"/>
      <c r="L76" s="351"/>
    </row>
    <row r="77" spans="1:12" ht="14.25">
      <c r="A77" s="327"/>
      <c r="B77" s="343" t="s">
        <v>506</v>
      </c>
      <c r="C77" s="990">
        <v>50000</v>
      </c>
      <c r="D77" s="990"/>
      <c r="E77" s="468" t="s">
        <v>481</v>
      </c>
      <c r="F77" s="738">
        <f>H74</f>
        <v>312000</v>
      </c>
      <c r="G77" s="468" t="s">
        <v>480</v>
      </c>
      <c r="H77" s="345">
        <f>C77/F77</f>
        <v>0.16025641025641027</v>
      </c>
      <c r="I77" s="337" t="s">
        <v>507</v>
      </c>
      <c r="J77" s="337"/>
      <c r="K77" s="338"/>
      <c r="L77" s="351"/>
    </row>
    <row r="78" spans="1:12" ht="14.25">
      <c r="A78" s="327"/>
      <c r="B78" s="343"/>
      <c r="C78" s="337"/>
      <c r="D78" s="337"/>
      <c r="E78" s="468"/>
      <c r="F78" s="337"/>
      <c r="G78" s="337"/>
      <c r="H78" s="337"/>
      <c r="I78" s="337"/>
      <c r="J78" s="337"/>
      <c r="K78" s="338"/>
      <c r="L78" s="351"/>
    </row>
    <row r="79" spans="1:12" ht="14.25">
      <c r="A79" s="327"/>
      <c r="B79" s="352"/>
      <c r="C79" s="353" t="s">
        <v>508</v>
      </c>
      <c r="D79" s="353"/>
      <c r="E79" s="470"/>
      <c r="F79" s="353"/>
      <c r="G79" s="353"/>
      <c r="H79" s="353"/>
      <c r="I79" s="353"/>
      <c r="J79" s="353"/>
      <c r="K79" s="354"/>
      <c r="L79" s="351"/>
    </row>
    <row r="80" spans="1:12" ht="14.25">
      <c r="A80" s="327"/>
      <c r="B80" s="343" t="s">
        <v>509</v>
      </c>
      <c r="C80" s="990">
        <v>100000</v>
      </c>
      <c r="D80" s="990"/>
      <c r="E80" s="468" t="s">
        <v>20</v>
      </c>
      <c r="F80" s="468">
        <v>0.115</v>
      </c>
      <c r="G80" s="468" t="s">
        <v>480</v>
      </c>
      <c r="H80" s="469">
        <f>C80*F80</f>
        <v>11500</v>
      </c>
      <c r="I80" s="337" t="s">
        <v>510</v>
      </c>
      <c r="J80" s="337"/>
      <c r="K80" s="338"/>
      <c r="L80" s="351"/>
    </row>
    <row r="81" spans="1:12" ht="14.25">
      <c r="A81" s="327"/>
      <c r="B81" s="343"/>
      <c r="C81" s="337"/>
      <c r="D81" s="337"/>
      <c r="E81" s="468"/>
      <c r="F81" s="337"/>
      <c r="G81" s="337"/>
      <c r="H81" s="337"/>
      <c r="I81" s="337"/>
      <c r="J81" s="337"/>
      <c r="K81" s="338"/>
      <c r="L81" s="351"/>
    </row>
    <row r="82" spans="1:12" ht="14.25">
      <c r="A82" s="327"/>
      <c r="B82" s="352"/>
      <c r="C82" s="353" t="s">
        <v>511</v>
      </c>
      <c r="D82" s="353"/>
      <c r="E82" s="470"/>
      <c r="F82" s="353" t="s">
        <v>507</v>
      </c>
      <c r="G82" s="353"/>
      <c r="H82" s="353"/>
      <c r="I82" s="353"/>
      <c r="J82" s="353" t="s">
        <v>512</v>
      </c>
      <c r="K82" s="354"/>
      <c r="L82" s="351"/>
    </row>
    <row r="83" spans="1:12" ht="14.25">
      <c r="A83" s="327"/>
      <c r="B83" s="343" t="s">
        <v>513</v>
      </c>
      <c r="C83" s="991">
        <f>H80</f>
        <v>11500</v>
      </c>
      <c r="D83" s="991"/>
      <c r="E83" s="468" t="s">
        <v>20</v>
      </c>
      <c r="F83" s="345">
        <f>H77</f>
        <v>0.16025641025641027</v>
      </c>
      <c r="G83" s="468" t="s">
        <v>481</v>
      </c>
      <c r="H83" s="468">
        <v>1000</v>
      </c>
      <c r="I83" s="468" t="s">
        <v>480</v>
      </c>
      <c r="J83" s="471">
        <f>C83*F83/H83</f>
        <v>1.842948717948718</v>
      </c>
      <c r="K83" s="338"/>
      <c r="L83" s="351"/>
    </row>
    <row r="84" spans="1:12" ht="15" thickBot="1">
      <c r="A84" s="327"/>
      <c r="B84" s="339"/>
      <c r="C84" s="355"/>
      <c r="D84" s="355"/>
      <c r="E84" s="356"/>
      <c r="F84" s="357"/>
      <c r="G84" s="356"/>
      <c r="H84" s="356"/>
      <c r="I84" s="356"/>
      <c r="J84" s="358"/>
      <c r="K84" s="341"/>
      <c r="L84" s="351"/>
    </row>
    <row r="85" spans="1:12" ht="40.5" customHeight="1">
      <c r="A85" s="327"/>
      <c r="B85" s="992" t="s">
        <v>472</v>
      </c>
      <c r="C85" s="992"/>
      <c r="D85" s="992"/>
      <c r="E85" s="992"/>
      <c r="F85" s="992"/>
      <c r="G85" s="992"/>
      <c r="H85" s="992"/>
      <c r="I85" s="992"/>
      <c r="J85" s="992"/>
      <c r="K85" s="992"/>
      <c r="L85" s="327"/>
    </row>
    <row r="86" spans="1:12" ht="14.25">
      <c r="A86" s="327"/>
      <c r="B86" s="987" t="s">
        <v>514</v>
      </c>
      <c r="C86" s="987"/>
      <c r="D86" s="987"/>
      <c r="E86" s="987"/>
      <c r="F86" s="987"/>
      <c r="G86" s="987"/>
      <c r="H86" s="987"/>
      <c r="I86" s="987"/>
      <c r="J86" s="987"/>
      <c r="K86" s="987"/>
      <c r="L86" s="327"/>
    </row>
    <row r="87" spans="1:12" ht="14.25">
      <c r="A87" s="327"/>
      <c r="B87" s="359"/>
      <c r="C87" s="359"/>
      <c r="D87" s="359"/>
      <c r="E87" s="359"/>
      <c r="F87" s="359"/>
      <c r="G87" s="359"/>
      <c r="H87" s="359"/>
      <c r="I87" s="359"/>
      <c r="J87" s="359"/>
      <c r="K87" s="359"/>
      <c r="L87" s="327"/>
    </row>
    <row r="88" spans="1:12" ht="14.25">
      <c r="A88" s="327"/>
      <c r="B88" s="987" t="s">
        <v>515</v>
      </c>
      <c r="C88" s="987"/>
      <c r="D88" s="987"/>
      <c r="E88" s="987"/>
      <c r="F88" s="987"/>
      <c r="G88" s="987"/>
      <c r="H88" s="987"/>
      <c r="I88" s="987"/>
      <c r="J88" s="987"/>
      <c r="K88" s="987"/>
      <c r="L88" s="327"/>
    </row>
    <row r="89" spans="1:12" ht="14.25">
      <c r="A89" s="327"/>
      <c r="B89" s="463"/>
      <c r="C89" s="463"/>
      <c r="D89" s="463"/>
      <c r="E89" s="463"/>
      <c r="F89" s="463"/>
      <c r="G89" s="463"/>
      <c r="H89" s="463"/>
      <c r="I89" s="463"/>
      <c r="J89" s="463"/>
      <c r="K89" s="463"/>
      <c r="L89" s="327"/>
    </row>
    <row r="90" spans="1:12" ht="45" customHeight="1">
      <c r="A90" s="327"/>
      <c r="B90" s="988" t="s">
        <v>516</v>
      </c>
      <c r="C90" s="988"/>
      <c r="D90" s="988"/>
      <c r="E90" s="988"/>
      <c r="F90" s="988"/>
      <c r="G90" s="988"/>
      <c r="H90" s="988"/>
      <c r="I90" s="988"/>
      <c r="J90" s="988"/>
      <c r="K90" s="988"/>
      <c r="L90" s="327"/>
    </row>
    <row r="91" spans="1:12" ht="15" customHeight="1" thickBot="1">
      <c r="A91" s="327"/>
      <c r="L91" s="327"/>
    </row>
    <row r="92" spans="1:12" ht="15" customHeight="1">
      <c r="A92" s="327"/>
      <c r="B92" s="360" t="s">
        <v>476</v>
      </c>
      <c r="C92" s="361"/>
      <c r="D92" s="361"/>
      <c r="E92" s="361"/>
      <c r="F92" s="361"/>
      <c r="G92" s="361"/>
      <c r="H92" s="361"/>
      <c r="I92" s="361"/>
      <c r="J92" s="361"/>
      <c r="K92" s="362"/>
      <c r="L92" s="327"/>
    </row>
    <row r="93" spans="1:12" ht="15" customHeight="1">
      <c r="A93" s="327"/>
      <c r="B93" s="363"/>
      <c r="C93" s="466" t="s">
        <v>482</v>
      </c>
      <c r="D93" s="466"/>
      <c r="E93" s="466"/>
      <c r="F93" s="466"/>
      <c r="G93" s="466"/>
      <c r="H93" s="466"/>
      <c r="I93" s="466"/>
      <c r="J93" s="466"/>
      <c r="K93" s="364"/>
      <c r="L93" s="327"/>
    </row>
    <row r="94" spans="1:12" ht="15" customHeight="1">
      <c r="A94" s="327"/>
      <c r="B94" s="363" t="s">
        <v>503</v>
      </c>
      <c r="C94" s="990">
        <v>312000000</v>
      </c>
      <c r="D94" s="990"/>
      <c r="E94" s="468" t="s">
        <v>481</v>
      </c>
      <c r="F94" s="468">
        <v>1000</v>
      </c>
      <c r="G94" s="468" t="s">
        <v>480</v>
      </c>
      <c r="H94" s="738">
        <f>C94/F94</f>
        <v>312000</v>
      </c>
      <c r="I94" s="466" t="s">
        <v>504</v>
      </c>
      <c r="J94" s="466"/>
      <c r="K94" s="364"/>
      <c r="L94" s="327"/>
    </row>
    <row r="95" spans="1:12" ht="15" customHeight="1">
      <c r="A95" s="327"/>
      <c r="B95" s="363"/>
      <c r="C95" s="466"/>
      <c r="D95" s="466"/>
      <c r="E95" s="468"/>
      <c r="F95" s="466"/>
      <c r="G95" s="466"/>
      <c r="H95" s="466"/>
      <c r="I95" s="466"/>
      <c r="J95" s="466"/>
      <c r="K95" s="364"/>
      <c r="L95" s="327"/>
    </row>
    <row r="96" spans="1:12" ht="15" customHeight="1">
      <c r="A96" s="327"/>
      <c r="B96" s="363"/>
      <c r="C96" s="466" t="s">
        <v>505</v>
      </c>
      <c r="D96" s="466"/>
      <c r="E96" s="468"/>
      <c r="F96" s="466" t="s">
        <v>504</v>
      </c>
      <c r="G96" s="466"/>
      <c r="H96" s="466"/>
      <c r="I96" s="466"/>
      <c r="J96" s="466"/>
      <c r="K96" s="364"/>
      <c r="L96" s="327"/>
    </row>
    <row r="97" spans="1:12" ht="15" customHeight="1">
      <c r="A97" s="327"/>
      <c r="B97" s="363" t="s">
        <v>506</v>
      </c>
      <c r="C97" s="990">
        <v>50000</v>
      </c>
      <c r="D97" s="990"/>
      <c r="E97" s="468" t="s">
        <v>481</v>
      </c>
      <c r="F97" s="738">
        <f>H94</f>
        <v>312000</v>
      </c>
      <c r="G97" s="468" t="s">
        <v>480</v>
      </c>
      <c r="H97" s="345">
        <f>C97/F97</f>
        <v>0.16025641025641027</v>
      </c>
      <c r="I97" s="466" t="s">
        <v>507</v>
      </c>
      <c r="J97" s="466"/>
      <c r="K97" s="364"/>
      <c r="L97" s="327"/>
    </row>
    <row r="98" spans="1:12" ht="15" customHeight="1">
      <c r="A98" s="327"/>
      <c r="B98" s="363"/>
      <c r="C98" s="466"/>
      <c r="D98" s="466"/>
      <c r="E98" s="468"/>
      <c r="F98" s="466"/>
      <c r="G98" s="466"/>
      <c r="H98" s="466"/>
      <c r="I98" s="466"/>
      <c r="J98" s="466"/>
      <c r="K98" s="364"/>
      <c r="L98" s="327"/>
    </row>
    <row r="99" spans="1:12" ht="15" customHeight="1">
      <c r="A99" s="327"/>
      <c r="B99" s="365"/>
      <c r="C99" s="366" t="s">
        <v>517</v>
      </c>
      <c r="D99" s="366"/>
      <c r="E99" s="470"/>
      <c r="F99" s="366"/>
      <c r="G99" s="366"/>
      <c r="H99" s="366"/>
      <c r="I99" s="366"/>
      <c r="J99" s="366"/>
      <c r="K99" s="367"/>
      <c r="L99" s="327"/>
    </row>
    <row r="100" spans="1:12" ht="15" customHeight="1">
      <c r="A100" s="327"/>
      <c r="B100" s="363" t="s">
        <v>509</v>
      </c>
      <c r="C100" s="990">
        <v>2500000</v>
      </c>
      <c r="D100" s="990"/>
      <c r="E100" s="468" t="s">
        <v>20</v>
      </c>
      <c r="F100" s="368">
        <v>0.3</v>
      </c>
      <c r="G100" s="468" t="s">
        <v>480</v>
      </c>
      <c r="H100" s="469">
        <f>C100*F100</f>
        <v>750000</v>
      </c>
      <c r="I100" s="466" t="s">
        <v>510</v>
      </c>
      <c r="J100" s="466"/>
      <c r="K100" s="364"/>
      <c r="L100" s="327"/>
    </row>
    <row r="101" spans="1:12" ht="15" customHeight="1">
      <c r="A101" s="327"/>
      <c r="B101" s="363"/>
      <c r="C101" s="466"/>
      <c r="D101" s="466"/>
      <c r="E101" s="468"/>
      <c r="F101" s="466"/>
      <c r="G101" s="466"/>
      <c r="H101" s="466"/>
      <c r="I101" s="466"/>
      <c r="J101" s="466"/>
      <c r="K101" s="364"/>
      <c r="L101" s="327"/>
    </row>
    <row r="102" spans="1:12" ht="15" customHeight="1">
      <c r="A102" s="327"/>
      <c r="B102" s="365"/>
      <c r="C102" s="366" t="s">
        <v>511</v>
      </c>
      <c r="D102" s="366"/>
      <c r="E102" s="470"/>
      <c r="F102" s="366" t="s">
        <v>507</v>
      </c>
      <c r="G102" s="366"/>
      <c r="H102" s="366"/>
      <c r="I102" s="366"/>
      <c r="J102" s="366" t="s">
        <v>512</v>
      </c>
      <c r="K102" s="367"/>
      <c r="L102" s="327"/>
    </row>
    <row r="103" spans="1:12" ht="15" customHeight="1">
      <c r="A103" s="327"/>
      <c r="B103" s="363" t="s">
        <v>513</v>
      </c>
      <c r="C103" s="991">
        <f>H100</f>
        <v>750000</v>
      </c>
      <c r="D103" s="991"/>
      <c r="E103" s="468" t="s">
        <v>20</v>
      </c>
      <c r="F103" s="345">
        <f>H97</f>
        <v>0.16025641025641027</v>
      </c>
      <c r="G103" s="468" t="s">
        <v>481</v>
      </c>
      <c r="H103" s="468">
        <v>1000</v>
      </c>
      <c r="I103" s="468" t="s">
        <v>480</v>
      </c>
      <c r="J103" s="471">
        <f>C103*F103/H103</f>
        <v>120.19230769230771</v>
      </c>
      <c r="K103" s="364"/>
      <c r="L103" s="327"/>
    </row>
    <row r="104" spans="1:12" ht="15" customHeight="1" thickBot="1">
      <c r="A104" s="327"/>
      <c r="B104" s="369"/>
      <c r="C104" s="355"/>
      <c r="D104" s="355"/>
      <c r="E104" s="356"/>
      <c r="F104" s="357"/>
      <c r="G104" s="356"/>
      <c r="H104" s="356"/>
      <c r="I104" s="356"/>
      <c r="J104" s="358"/>
      <c r="K104" s="467"/>
      <c r="L104" s="327"/>
    </row>
    <row r="105" spans="1:12" ht="40.5" customHeight="1">
      <c r="A105" s="327"/>
      <c r="B105" s="992" t="s">
        <v>472</v>
      </c>
      <c r="C105" s="993"/>
      <c r="D105" s="993"/>
      <c r="E105" s="993"/>
      <c r="F105" s="993"/>
      <c r="G105" s="993"/>
      <c r="H105" s="993"/>
      <c r="I105" s="993"/>
      <c r="J105" s="993"/>
      <c r="K105" s="993"/>
      <c r="L105" s="327"/>
    </row>
    <row r="106" spans="1:12" ht="15" customHeight="1">
      <c r="A106" s="327"/>
      <c r="B106" s="994" t="s">
        <v>518</v>
      </c>
      <c r="C106" s="995"/>
      <c r="D106" s="995"/>
      <c r="E106" s="995"/>
      <c r="F106" s="995"/>
      <c r="G106" s="995"/>
      <c r="H106" s="995"/>
      <c r="I106" s="995"/>
      <c r="J106" s="995"/>
      <c r="K106" s="995"/>
      <c r="L106" s="327"/>
    </row>
    <row r="107" spans="1:12" ht="15" customHeight="1">
      <c r="A107" s="327"/>
      <c r="B107" s="466"/>
      <c r="C107" s="370"/>
      <c r="D107" s="370"/>
      <c r="E107" s="468"/>
      <c r="F107" s="345"/>
      <c r="G107" s="468"/>
      <c r="H107" s="468"/>
      <c r="I107" s="468"/>
      <c r="J107" s="471"/>
      <c r="K107" s="466"/>
      <c r="L107" s="327"/>
    </row>
    <row r="108" spans="1:12" ht="15" customHeight="1">
      <c r="A108" s="327"/>
      <c r="B108" s="994" t="s">
        <v>519</v>
      </c>
      <c r="C108" s="996"/>
      <c r="D108" s="996"/>
      <c r="E108" s="996"/>
      <c r="F108" s="996"/>
      <c r="G108" s="996"/>
      <c r="H108" s="996"/>
      <c r="I108" s="996"/>
      <c r="J108" s="996"/>
      <c r="K108" s="996"/>
      <c r="L108" s="327"/>
    </row>
    <row r="109" spans="1:12" ht="15" customHeight="1">
      <c r="A109" s="327"/>
      <c r="B109" s="466"/>
      <c r="C109" s="370"/>
      <c r="D109" s="370"/>
      <c r="E109" s="468"/>
      <c r="F109" s="345"/>
      <c r="G109" s="468"/>
      <c r="H109" s="468"/>
      <c r="I109" s="468"/>
      <c r="J109" s="471"/>
      <c r="K109" s="466"/>
      <c r="L109" s="327"/>
    </row>
    <row r="110" spans="1:12" ht="59.25" customHeight="1">
      <c r="A110" s="327"/>
      <c r="B110" s="997" t="s">
        <v>520</v>
      </c>
      <c r="C110" s="998"/>
      <c r="D110" s="998"/>
      <c r="E110" s="998"/>
      <c r="F110" s="998"/>
      <c r="G110" s="998"/>
      <c r="H110" s="998"/>
      <c r="I110" s="998"/>
      <c r="J110" s="998"/>
      <c r="K110" s="998"/>
      <c r="L110" s="327"/>
    </row>
    <row r="111" spans="1:12" ht="15" thickBot="1">
      <c r="A111" s="327"/>
      <c r="B111" s="464"/>
      <c r="C111" s="464"/>
      <c r="D111" s="464"/>
      <c r="E111" s="464"/>
      <c r="F111" s="464"/>
      <c r="G111" s="464"/>
      <c r="H111" s="464"/>
      <c r="I111" s="464"/>
      <c r="J111" s="464"/>
      <c r="K111" s="464"/>
      <c r="L111" s="371"/>
    </row>
    <row r="112" spans="1:12" ht="14.25">
      <c r="A112" s="327"/>
      <c r="B112" s="333" t="s">
        <v>476</v>
      </c>
      <c r="C112" s="334"/>
      <c r="D112" s="334"/>
      <c r="E112" s="334"/>
      <c r="F112" s="334"/>
      <c r="G112" s="334"/>
      <c r="H112" s="334"/>
      <c r="I112" s="334"/>
      <c r="J112" s="334"/>
      <c r="K112" s="335"/>
      <c r="L112" s="327"/>
    </row>
    <row r="113" spans="1:12" ht="14.25">
      <c r="A113" s="327"/>
      <c r="B113" s="343"/>
      <c r="C113" s="337" t="s">
        <v>482</v>
      </c>
      <c r="D113" s="337"/>
      <c r="E113" s="337"/>
      <c r="F113" s="337"/>
      <c r="G113" s="337"/>
      <c r="H113" s="337"/>
      <c r="I113" s="337"/>
      <c r="J113" s="337"/>
      <c r="K113" s="338"/>
      <c r="L113" s="327"/>
    </row>
    <row r="114" spans="1:12" ht="14.25">
      <c r="A114" s="327"/>
      <c r="B114" s="343" t="s">
        <v>503</v>
      </c>
      <c r="C114" s="990">
        <v>312000000</v>
      </c>
      <c r="D114" s="990"/>
      <c r="E114" s="468" t="s">
        <v>481</v>
      </c>
      <c r="F114" s="468">
        <v>1000</v>
      </c>
      <c r="G114" s="468" t="s">
        <v>480</v>
      </c>
      <c r="H114" s="738">
        <f>C114/F114</f>
        <v>312000</v>
      </c>
      <c r="I114" s="337" t="s">
        <v>504</v>
      </c>
      <c r="J114" s="337"/>
      <c r="K114" s="338"/>
      <c r="L114" s="327"/>
    </row>
    <row r="115" spans="1:12" ht="14.25">
      <c r="A115" s="327"/>
      <c r="B115" s="343"/>
      <c r="C115" s="337"/>
      <c r="D115" s="337"/>
      <c r="E115" s="468"/>
      <c r="F115" s="337"/>
      <c r="G115" s="337"/>
      <c r="H115" s="337"/>
      <c r="I115" s="337"/>
      <c r="J115" s="337"/>
      <c r="K115" s="338"/>
      <c r="L115" s="327"/>
    </row>
    <row r="116" spans="1:12" ht="14.25">
      <c r="A116" s="327"/>
      <c r="B116" s="343"/>
      <c r="C116" s="337" t="s">
        <v>505</v>
      </c>
      <c r="D116" s="337"/>
      <c r="E116" s="468"/>
      <c r="F116" s="337" t="s">
        <v>504</v>
      </c>
      <c r="G116" s="337"/>
      <c r="H116" s="337"/>
      <c r="I116" s="337"/>
      <c r="J116" s="337"/>
      <c r="K116" s="338"/>
      <c r="L116" s="327"/>
    </row>
    <row r="117" spans="1:12" ht="14.25">
      <c r="A117" s="327"/>
      <c r="B117" s="343" t="s">
        <v>506</v>
      </c>
      <c r="C117" s="990">
        <v>50000</v>
      </c>
      <c r="D117" s="990"/>
      <c r="E117" s="468" t="s">
        <v>481</v>
      </c>
      <c r="F117" s="738">
        <f>H114</f>
        <v>312000</v>
      </c>
      <c r="G117" s="468" t="s">
        <v>480</v>
      </c>
      <c r="H117" s="345">
        <f>C117/F117</f>
        <v>0.16025641025641027</v>
      </c>
      <c r="I117" s="337" t="s">
        <v>507</v>
      </c>
      <c r="J117" s="337"/>
      <c r="K117" s="338"/>
      <c r="L117" s="327"/>
    </row>
    <row r="118" spans="1:12" ht="14.25">
      <c r="A118" s="327"/>
      <c r="B118" s="343"/>
      <c r="C118" s="337"/>
      <c r="D118" s="337"/>
      <c r="E118" s="468"/>
      <c r="F118" s="337"/>
      <c r="G118" s="337"/>
      <c r="H118" s="337"/>
      <c r="I118" s="337"/>
      <c r="J118" s="337"/>
      <c r="K118" s="338"/>
      <c r="L118" s="327"/>
    </row>
    <row r="119" spans="1:12" ht="14.25">
      <c r="A119" s="327"/>
      <c r="B119" s="352"/>
      <c r="C119" s="353" t="s">
        <v>517</v>
      </c>
      <c r="D119" s="353"/>
      <c r="E119" s="470"/>
      <c r="F119" s="353"/>
      <c r="G119" s="353"/>
      <c r="H119" s="353"/>
      <c r="I119" s="353"/>
      <c r="J119" s="353"/>
      <c r="K119" s="354"/>
      <c r="L119" s="327"/>
    </row>
    <row r="120" spans="1:12" ht="14.25">
      <c r="A120" s="327"/>
      <c r="B120" s="343" t="s">
        <v>509</v>
      </c>
      <c r="C120" s="990">
        <v>2500000</v>
      </c>
      <c r="D120" s="990"/>
      <c r="E120" s="468" t="s">
        <v>20</v>
      </c>
      <c r="F120" s="368">
        <v>0.25</v>
      </c>
      <c r="G120" s="468" t="s">
        <v>480</v>
      </c>
      <c r="H120" s="469">
        <f>C120*F120</f>
        <v>625000</v>
      </c>
      <c r="I120" s="337" t="s">
        <v>510</v>
      </c>
      <c r="J120" s="337"/>
      <c r="K120" s="338"/>
      <c r="L120" s="327"/>
    </row>
    <row r="121" spans="1:12" ht="14.25">
      <c r="A121" s="327"/>
      <c r="B121" s="343"/>
      <c r="C121" s="337"/>
      <c r="D121" s="337"/>
      <c r="E121" s="468"/>
      <c r="F121" s="337"/>
      <c r="G121" s="337"/>
      <c r="H121" s="337"/>
      <c r="I121" s="337"/>
      <c r="J121" s="337"/>
      <c r="K121" s="338"/>
      <c r="L121" s="327"/>
    </row>
    <row r="122" spans="1:12" ht="14.25">
      <c r="A122" s="327"/>
      <c r="B122" s="352"/>
      <c r="C122" s="353" t="s">
        <v>511</v>
      </c>
      <c r="D122" s="353"/>
      <c r="E122" s="470"/>
      <c r="F122" s="353" t="s">
        <v>507</v>
      </c>
      <c r="G122" s="353"/>
      <c r="H122" s="353"/>
      <c r="I122" s="353"/>
      <c r="J122" s="353" t="s">
        <v>512</v>
      </c>
      <c r="K122" s="354"/>
      <c r="L122" s="327"/>
    </row>
    <row r="123" spans="1:12" ht="14.25">
      <c r="A123" s="327"/>
      <c r="B123" s="343" t="s">
        <v>513</v>
      </c>
      <c r="C123" s="991">
        <f>H120</f>
        <v>625000</v>
      </c>
      <c r="D123" s="991"/>
      <c r="E123" s="468" t="s">
        <v>20</v>
      </c>
      <c r="F123" s="345">
        <f>H117</f>
        <v>0.16025641025641027</v>
      </c>
      <c r="G123" s="468" t="s">
        <v>481</v>
      </c>
      <c r="H123" s="468">
        <v>1000</v>
      </c>
      <c r="I123" s="468" t="s">
        <v>480</v>
      </c>
      <c r="J123" s="471">
        <f>C123*F123/H123</f>
        <v>100.16025641025642</v>
      </c>
      <c r="K123" s="338"/>
      <c r="L123" s="327"/>
    </row>
    <row r="124" spans="1:12" ht="15" thickBot="1">
      <c r="A124" s="327"/>
      <c r="B124" s="339"/>
      <c r="C124" s="355"/>
      <c r="D124" s="355"/>
      <c r="E124" s="356"/>
      <c r="F124" s="357"/>
      <c r="G124" s="356"/>
      <c r="H124" s="356"/>
      <c r="I124" s="356"/>
      <c r="J124" s="358"/>
      <c r="K124" s="341"/>
      <c r="L124" s="327"/>
    </row>
    <row r="125" spans="1:12" ht="40.5" customHeight="1">
      <c r="A125" s="327"/>
      <c r="B125" s="992" t="s">
        <v>472</v>
      </c>
      <c r="C125" s="992"/>
      <c r="D125" s="992"/>
      <c r="E125" s="992"/>
      <c r="F125" s="992"/>
      <c r="G125" s="992"/>
      <c r="H125" s="992"/>
      <c r="I125" s="992"/>
      <c r="J125" s="992"/>
      <c r="K125" s="992"/>
      <c r="L125" s="371"/>
    </row>
    <row r="126" spans="1:12" ht="14.25">
      <c r="A126" s="327"/>
      <c r="B126" s="987" t="s">
        <v>521</v>
      </c>
      <c r="C126" s="987"/>
      <c r="D126" s="987"/>
      <c r="E126" s="987"/>
      <c r="F126" s="987"/>
      <c r="G126" s="987"/>
      <c r="H126" s="987"/>
      <c r="I126" s="987"/>
      <c r="J126" s="987"/>
      <c r="K126" s="987"/>
      <c r="L126" s="371"/>
    </row>
    <row r="127" spans="1:12" ht="14.25">
      <c r="A127" s="327"/>
      <c r="B127" s="464"/>
      <c r="C127" s="464"/>
      <c r="D127" s="464"/>
      <c r="E127" s="464"/>
      <c r="F127" s="464"/>
      <c r="G127" s="464"/>
      <c r="H127" s="464"/>
      <c r="I127" s="464"/>
      <c r="J127" s="464"/>
      <c r="K127" s="464"/>
      <c r="L127" s="371"/>
    </row>
    <row r="128" spans="1:12" ht="14.25">
      <c r="A128" s="327"/>
      <c r="B128" s="987" t="s">
        <v>522</v>
      </c>
      <c r="C128" s="987"/>
      <c r="D128" s="987"/>
      <c r="E128" s="987"/>
      <c r="F128" s="987"/>
      <c r="G128" s="987"/>
      <c r="H128" s="987"/>
      <c r="I128" s="987"/>
      <c r="J128" s="987"/>
      <c r="K128" s="987"/>
      <c r="L128" s="371"/>
    </row>
    <row r="129" spans="1:12" ht="14.25">
      <c r="A129" s="327"/>
      <c r="B129" s="463"/>
      <c r="C129" s="463"/>
      <c r="D129" s="463"/>
      <c r="E129" s="463"/>
      <c r="F129" s="463"/>
      <c r="G129" s="463"/>
      <c r="H129" s="463"/>
      <c r="I129" s="463"/>
      <c r="J129" s="463"/>
      <c r="K129" s="463"/>
      <c r="L129" s="371"/>
    </row>
    <row r="130" spans="1:12" ht="74.25" customHeight="1">
      <c r="A130" s="327"/>
      <c r="B130" s="988" t="s">
        <v>523</v>
      </c>
      <c r="C130" s="988"/>
      <c r="D130" s="988"/>
      <c r="E130" s="988"/>
      <c r="F130" s="988"/>
      <c r="G130" s="988"/>
      <c r="H130" s="988"/>
      <c r="I130" s="988"/>
      <c r="J130" s="988"/>
      <c r="K130" s="988"/>
      <c r="L130" s="371"/>
    </row>
    <row r="131" spans="1:12" ht="15" thickBot="1">
      <c r="A131" s="327"/>
      <c r="L131" s="327"/>
    </row>
    <row r="132" spans="1:12" ht="14.25">
      <c r="A132" s="327"/>
      <c r="B132" s="333" t="s">
        <v>476</v>
      </c>
      <c r="C132" s="334"/>
      <c r="D132" s="334"/>
      <c r="E132" s="334"/>
      <c r="F132" s="334"/>
      <c r="G132" s="334"/>
      <c r="H132" s="334"/>
      <c r="I132" s="334"/>
      <c r="J132" s="334"/>
      <c r="K132" s="335"/>
      <c r="L132" s="327"/>
    </row>
    <row r="133" spans="1:12" ht="14.25">
      <c r="A133" s="327"/>
      <c r="B133" s="343"/>
      <c r="C133" s="989" t="s">
        <v>524</v>
      </c>
      <c r="D133" s="989"/>
      <c r="E133" s="337"/>
      <c r="F133" s="468" t="s">
        <v>525</v>
      </c>
      <c r="G133" s="337"/>
      <c r="H133" s="989" t="s">
        <v>510</v>
      </c>
      <c r="I133" s="989"/>
      <c r="J133" s="337"/>
      <c r="K133" s="338"/>
      <c r="L133" s="327"/>
    </row>
    <row r="134" spans="1:12" ht="14.25">
      <c r="A134" s="327"/>
      <c r="B134" s="343" t="s">
        <v>503</v>
      </c>
      <c r="C134" s="990">
        <v>100000</v>
      </c>
      <c r="D134" s="990"/>
      <c r="E134" s="468" t="s">
        <v>20</v>
      </c>
      <c r="F134" s="468">
        <v>0.115</v>
      </c>
      <c r="G134" s="468" t="s">
        <v>480</v>
      </c>
      <c r="H134" s="979">
        <f>C134*F134</f>
        <v>11500</v>
      </c>
      <c r="I134" s="979"/>
      <c r="J134" s="337"/>
      <c r="K134" s="338"/>
      <c r="L134" s="327"/>
    </row>
    <row r="135" spans="1:12" ht="14.25">
      <c r="A135" s="327"/>
      <c r="B135" s="343"/>
      <c r="C135" s="337"/>
      <c r="D135" s="337"/>
      <c r="E135" s="337"/>
      <c r="F135" s="337"/>
      <c r="G135" s="337"/>
      <c r="H135" s="337"/>
      <c r="I135" s="337"/>
      <c r="J135" s="337"/>
      <c r="K135" s="338"/>
      <c r="L135" s="327"/>
    </row>
    <row r="136" spans="1:12" ht="14.25">
      <c r="A136" s="327"/>
      <c r="B136" s="352"/>
      <c r="C136" s="978" t="s">
        <v>510</v>
      </c>
      <c r="D136" s="978"/>
      <c r="E136" s="353"/>
      <c r="F136" s="470" t="s">
        <v>526</v>
      </c>
      <c r="G136" s="470"/>
      <c r="H136" s="353"/>
      <c r="I136" s="353"/>
      <c r="J136" s="353" t="s">
        <v>527</v>
      </c>
      <c r="K136" s="354"/>
      <c r="L136" s="327"/>
    </row>
    <row r="137" spans="1:12" ht="14.25">
      <c r="A137" s="327"/>
      <c r="B137" s="343" t="s">
        <v>506</v>
      </c>
      <c r="C137" s="979">
        <f>H134</f>
        <v>11500</v>
      </c>
      <c r="D137" s="979"/>
      <c r="E137" s="468" t="s">
        <v>20</v>
      </c>
      <c r="F137" s="372">
        <v>52.869</v>
      </c>
      <c r="G137" s="468" t="s">
        <v>481</v>
      </c>
      <c r="H137" s="468">
        <v>1000</v>
      </c>
      <c r="I137" s="468" t="s">
        <v>480</v>
      </c>
      <c r="J137" s="373">
        <f>C137*F137/H137</f>
        <v>607.9935</v>
      </c>
      <c r="K137" s="338"/>
      <c r="L137" s="327"/>
    </row>
    <row r="138" spans="1:12" ht="15" thickBot="1">
      <c r="A138" s="327"/>
      <c r="B138" s="339"/>
      <c r="C138" s="374"/>
      <c r="D138" s="374"/>
      <c r="E138" s="356"/>
      <c r="F138" s="375"/>
      <c r="G138" s="356"/>
      <c r="H138" s="356"/>
      <c r="I138" s="356"/>
      <c r="J138" s="376"/>
      <c r="K138" s="341"/>
      <c r="L138" s="327"/>
    </row>
    <row r="139" spans="1:12" ht="40.5" customHeight="1">
      <c r="A139" s="327"/>
      <c r="B139" s="377" t="s">
        <v>472</v>
      </c>
      <c r="C139" s="378"/>
      <c r="D139" s="378"/>
      <c r="E139" s="379"/>
      <c r="F139" s="380"/>
      <c r="G139" s="379"/>
      <c r="H139" s="379"/>
      <c r="I139" s="379"/>
      <c r="J139" s="381"/>
      <c r="K139" s="382"/>
      <c r="L139" s="327"/>
    </row>
    <row r="140" spans="1:12" ht="14.25">
      <c r="A140" s="327"/>
      <c r="B140" s="383" t="s">
        <v>528</v>
      </c>
      <c r="C140" s="384"/>
      <c r="D140" s="384"/>
      <c r="E140" s="385"/>
      <c r="F140" s="386"/>
      <c r="G140" s="385"/>
      <c r="H140" s="385"/>
      <c r="I140" s="385"/>
      <c r="J140" s="387"/>
      <c r="K140" s="388"/>
      <c r="L140" s="327"/>
    </row>
    <row r="141" spans="1:12" ht="14.25">
      <c r="A141" s="327"/>
      <c r="B141" s="343"/>
      <c r="C141" s="469"/>
      <c r="D141" s="469"/>
      <c r="E141" s="468"/>
      <c r="F141" s="389"/>
      <c r="G141" s="468"/>
      <c r="H141" s="468"/>
      <c r="I141" s="468"/>
      <c r="J141" s="373"/>
      <c r="K141" s="338"/>
      <c r="L141" s="327"/>
    </row>
    <row r="142" spans="1:12" ht="14.25">
      <c r="A142" s="327"/>
      <c r="B142" s="383" t="s">
        <v>529</v>
      </c>
      <c r="C142" s="384"/>
      <c r="D142" s="384"/>
      <c r="E142" s="385"/>
      <c r="F142" s="386"/>
      <c r="G142" s="385"/>
      <c r="H142" s="385"/>
      <c r="I142" s="385"/>
      <c r="J142" s="387"/>
      <c r="K142" s="388"/>
      <c r="L142" s="327"/>
    </row>
    <row r="143" spans="1:12" ht="14.25">
      <c r="A143" s="327"/>
      <c r="B143" s="343"/>
      <c r="C143" s="469"/>
      <c r="D143" s="469"/>
      <c r="E143" s="468"/>
      <c r="F143" s="389"/>
      <c r="G143" s="468"/>
      <c r="H143" s="468"/>
      <c r="I143" s="468"/>
      <c r="J143" s="373"/>
      <c r="K143" s="338"/>
      <c r="L143" s="327"/>
    </row>
    <row r="144" spans="1:12" ht="76.5" customHeight="1">
      <c r="A144" s="327"/>
      <c r="B144" s="980" t="s">
        <v>530</v>
      </c>
      <c r="C144" s="981"/>
      <c r="D144" s="981"/>
      <c r="E144" s="981"/>
      <c r="F144" s="981"/>
      <c r="G144" s="981"/>
      <c r="H144" s="981"/>
      <c r="I144" s="981"/>
      <c r="J144" s="981"/>
      <c r="K144" s="982"/>
      <c r="L144" s="327"/>
    </row>
    <row r="145" spans="1:12" ht="15" thickBot="1">
      <c r="A145" s="327"/>
      <c r="B145" s="343"/>
      <c r="C145" s="469"/>
      <c r="D145" s="469"/>
      <c r="E145" s="468"/>
      <c r="F145" s="389"/>
      <c r="G145" s="468"/>
      <c r="H145" s="468"/>
      <c r="I145" s="468"/>
      <c r="J145" s="373"/>
      <c r="K145" s="338"/>
      <c r="L145" s="327"/>
    </row>
    <row r="146" spans="1:12" ht="14.25">
      <c r="A146" s="327"/>
      <c r="B146" s="333" t="s">
        <v>476</v>
      </c>
      <c r="C146" s="390"/>
      <c r="D146" s="390"/>
      <c r="E146" s="391"/>
      <c r="F146" s="392"/>
      <c r="G146" s="391"/>
      <c r="H146" s="391"/>
      <c r="I146" s="391"/>
      <c r="J146" s="393"/>
      <c r="K146" s="335"/>
      <c r="L146" s="327"/>
    </row>
    <row r="147" spans="1:12" ht="14.25">
      <c r="A147" s="327"/>
      <c r="B147" s="343"/>
      <c r="C147" s="979" t="s">
        <v>531</v>
      </c>
      <c r="D147" s="979"/>
      <c r="E147" s="468"/>
      <c r="F147" s="389" t="s">
        <v>532</v>
      </c>
      <c r="G147" s="468"/>
      <c r="H147" s="468"/>
      <c r="I147" s="468"/>
      <c r="J147" s="983" t="s">
        <v>533</v>
      </c>
      <c r="K147" s="984"/>
      <c r="L147" s="327"/>
    </row>
    <row r="148" spans="1:12" ht="14.25">
      <c r="A148" s="327"/>
      <c r="B148" s="343"/>
      <c r="C148" s="985">
        <v>52.869</v>
      </c>
      <c r="D148" s="985"/>
      <c r="E148" s="468" t="s">
        <v>20</v>
      </c>
      <c r="F148" s="465">
        <v>312000000</v>
      </c>
      <c r="G148" s="394" t="s">
        <v>481</v>
      </c>
      <c r="H148" s="468">
        <v>1000</v>
      </c>
      <c r="I148" s="468" t="s">
        <v>480</v>
      </c>
      <c r="J148" s="983">
        <f>C148*(F148/1000)</f>
        <v>16495128</v>
      </c>
      <c r="K148" s="986"/>
      <c r="L148" s="327"/>
    </row>
    <row r="149" spans="1:12" ht="15" thickBot="1">
      <c r="A149" s="327"/>
      <c r="B149" s="339"/>
      <c r="C149" s="374"/>
      <c r="D149" s="374"/>
      <c r="E149" s="356"/>
      <c r="F149" s="375"/>
      <c r="G149" s="356"/>
      <c r="H149" s="356"/>
      <c r="I149" s="356"/>
      <c r="J149" s="376"/>
      <c r="K149" s="341"/>
      <c r="L149" s="327"/>
    </row>
    <row r="150" spans="1:12" ht="15" thickBot="1">
      <c r="A150" s="327"/>
      <c r="B150" s="339"/>
      <c r="C150" s="340"/>
      <c r="D150" s="340"/>
      <c r="E150" s="340"/>
      <c r="F150" s="340"/>
      <c r="G150" s="340"/>
      <c r="H150" s="340"/>
      <c r="I150" s="340"/>
      <c r="J150" s="340"/>
      <c r="K150" s="341"/>
      <c r="L150" s="327"/>
    </row>
    <row r="151" spans="1:12" ht="14.25">
      <c r="A151" s="327"/>
      <c r="B151" s="327"/>
      <c r="C151" s="327"/>
      <c r="D151" s="327"/>
      <c r="E151" s="327"/>
      <c r="F151" s="327"/>
      <c r="G151" s="327"/>
      <c r="H151" s="327"/>
      <c r="I151" s="327"/>
      <c r="J151" s="327"/>
      <c r="K151" s="327"/>
      <c r="L151" s="327"/>
    </row>
    <row r="152" spans="1:12" ht="14.25">
      <c r="A152" s="327"/>
      <c r="B152" s="327"/>
      <c r="C152" s="327"/>
      <c r="D152" s="327"/>
      <c r="E152" s="327"/>
      <c r="F152" s="327"/>
      <c r="G152" s="327"/>
      <c r="H152" s="327"/>
      <c r="I152" s="327"/>
      <c r="J152" s="327"/>
      <c r="K152" s="327"/>
      <c r="L152" s="327"/>
    </row>
    <row r="153" spans="1:12" ht="14.25">
      <c r="A153" s="327"/>
      <c r="B153" s="327"/>
      <c r="C153" s="327"/>
      <c r="D153" s="327"/>
      <c r="E153" s="327"/>
      <c r="F153" s="327"/>
      <c r="G153" s="327"/>
      <c r="H153" s="327"/>
      <c r="I153" s="327"/>
      <c r="J153" s="327"/>
      <c r="K153" s="327"/>
      <c r="L153" s="327"/>
    </row>
    <row r="154" spans="1:12" ht="14.25">
      <c r="A154" s="395"/>
      <c r="B154" s="395"/>
      <c r="C154" s="395"/>
      <c r="D154" s="395"/>
      <c r="E154" s="395"/>
      <c r="F154" s="395"/>
      <c r="G154" s="395"/>
      <c r="H154" s="395"/>
      <c r="I154" s="395"/>
      <c r="J154" s="395"/>
      <c r="K154" s="395"/>
      <c r="L154" s="395"/>
    </row>
    <row r="155" spans="1:12" ht="14.25">
      <c r="A155" s="395"/>
      <c r="B155" s="395"/>
      <c r="C155" s="395"/>
      <c r="D155" s="395"/>
      <c r="E155" s="395"/>
      <c r="F155" s="395"/>
      <c r="G155" s="395"/>
      <c r="H155" s="395"/>
      <c r="I155" s="395"/>
      <c r="J155" s="395"/>
      <c r="K155" s="395"/>
      <c r="L155" s="395"/>
    </row>
    <row r="156" spans="1:12" ht="14.25">
      <c r="A156" s="395"/>
      <c r="B156" s="395"/>
      <c r="C156" s="395"/>
      <c r="D156" s="395"/>
      <c r="E156" s="395"/>
      <c r="F156" s="395"/>
      <c r="G156" s="395"/>
      <c r="H156" s="395"/>
      <c r="I156" s="395"/>
      <c r="J156" s="395"/>
      <c r="K156" s="395"/>
      <c r="L156" s="395"/>
    </row>
    <row r="157" spans="1:12" ht="14.25">
      <c r="A157" s="395"/>
      <c r="B157" s="395"/>
      <c r="C157" s="395"/>
      <c r="D157" s="395"/>
      <c r="E157" s="395"/>
      <c r="F157" s="395"/>
      <c r="G157" s="395"/>
      <c r="H157" s="395"/>
      <c r="I157" s="395"/>
      <c r="J157" s="395"/>
      <c r="K157" s="395"/>
      <c r="L157" s="395"/>
    </row>
    <row r="158" spans="1:12" ht="14.25">
      <c r="A158" s="395"/>
      <c r="B158" s="395"/>
      <c r="C158" s="395"/>
      <c r="D158" s="395"/>
      <c r="E158" s="395"/>
      <c r="F158" s="395"/>
      <c r="G158" s="395"/>
      <c r="H158" s="395"/>
      <c r="I158" s="395"/>
      <c r="J158" s="395"/>
      <c r="K158" s="395"/>
      <c r="L158" s="395"/>
    </row>
    <row r="159" spans="1:12" ht="14.25">
      <c r="A159" s="395"/>
      <c r="B159" s="395"/>
      <c r="C159" s="395"/>
      <c r="D159" s="395"/>
      <c r="E159" s="395"/>
      <c r="F159" s="395"/>
      <c r="G159" s="395"/>
      <c r="H159" s="395"/>
      <c r="I159" s="395"/>
      <c r="J159" s="395"/>
      <c r="K159" s="395"/>
      <c r="L159" s="395"/>
    </row>
    <row r="160" spans="1:12" ht="14.25">
      <c r="A160" s="395"/>
      <c r="B160" s="395"/>
      <c r="C160" s="395"/>
      <c r="D160" s="395"/>
      <c r="E160" s="395"/>
      <c r="F160" s="395"/>
      <c r="G160" s="395"/>
      <c r="H160" s="395"/>
      <c r="I160" s="395"/>
      <c r="J160" s="395"/>
      <c r="K160" s="395"/>
      <c r="L160" s="395"/>
    </row>
    <row r="161" spans="1:12" ht="14.25">
      <c r="A161" s="395"/>
      <c r="B161" s="395"/>
      <c r="C161" s="395"/>
      <c r="D161" s="395"/>
      <c r="E161" s="395"/>
      <c r="F161" s="395"/>
      <c r="G161" s="395"/>
      <c r="H161" s="395"/>
      <c r="I161" s="395"/>
      <c r="J161" s="395"/>
      <c r="K161" s="395"/>
      <c r="L161" s="395"/>
    </row>
    <row r="162" spans="1:12" ht="14.25">
      <c r="A162" s="395"/>
      <c r="B162" s="395"/>
      <c r="C162" s="395"/>
      <c r="D162" s="395"/>
      <c r="E162" s="395"/>
      <c r="F162" s="395"/>
      <c r="G162" s="395"/>
      <c r="H162" s="395"/>
      <c r="I162" s="395"/>
      <c r="J162" s="395"/>
      <c r="K162" s="395"/>
      <c r="L162" s="395"/>
    </row>
    <row r="163" spans="1:12" ht="14.25">
      <c r="A163" s="395"/>
      <c r="B163" s="395"/>
      <c r="C163" s="395"/>
      <c r="D163" s="395"/>
      <c r="E163" s="395"/>
      <c r="F163" s="395"/>
      <c r="G163" s="395"/>
      <c r="H163" s="395"/>
      <c r="I163" s="395"/>
      <c r="J163" s="395"/>
      <c r="K163" s="395"/>
      <c r="L163" s="395"/>
    </row>
    <row r="164" spans="1:12" ht="14.25">
      <c r="A164" s="395"/>
      <c r="B164" s="395"/>
      <c r="C164" s="395"/>
      <c r="D164" s="395"/>
      <c r="E164" s="395"/>
      <c r="F164" s="395"/>
      <c r="G164" s="395"/>
      <c r="H164" s="395"/>
      <c r="I164" s="395"/>
      <c r="J164" s="395"/>
      <c r="K164" s="395"/>
      <c r="L164" s="395"/>
    </row>
    <row r="165" spans="1:12" ht="14.25">
      <c r="A165" s="395"/>
      <c r="B165" s="395"/>
      <c r="C165" s="395"/>
      <c r="D165" s="395"/>
      <c r="E165" s="395"/>
      <c r="F165" s="395"/>
      <c r="G165" s="395"/>
      <c r="H165" s="395"/>
      <c r="I165" s="395"/>
      <c r="J165" s="395"/>
      <c r="K165" s="395"/>
      <c r="L165" s="395"/>
    </row>
    <row r="166" spans="1:12" ht="14.25">
      <c r="A166" s="395"/>
      <c r="B166" s="395"/>
      <c r="C166" s="395"/>
      <c r="D166" s="395"/>
      <c r="E166" s="395"/>
      <c r="F166" s="395"/>
      <c r="G166" s="395"/>
      <c r="H166" s="395"/>
      <c r="I166" s="395"/>
      <c r="J166" s="395"/>
      <c r="K166" s="395"/>
      <c r="L166" s="395"/>
    </row>
    <row r="167" spans="1:12" ht="14.25">
      <c r="A167" s="395"/>
      <c r="B167" s="395"/>
      <c r="C167" s="395"/>
      <c r="D167" s="395"/>
      <c r="E167" s="395"/>
      <c r="F167" s="395"/>
      <c r="G167" s="395"/>
      <c r="H167" s="395"/>
      <c r="I167" s="395"/>
      <c r="J167" s="395"/>
      <c r="K167" s="395"/>
      <c r="L167" s="395"/>
    </row>
    <row r="168" spans="1:12" ht="14.25">
      <c r="A168" s="395"/>
      <c r="B168" s="395"/>
      <c r="C168" s="395"/>
      <c r="D168" s="395"/>
      <c r="E168" s="395"/>
      <c r="F168" s="395"/>
      <c r="G168" s="395"/>
      <c r="H168" s="395"/>
      <c r="I168" s="395"/>
      <c r="J168" s="395"/>
      <c r="K168" s="395"/>
      <c r="L168" s="395"/>
    </row>
    <row r="169" spans="1:12" ht="14.25">
      <c r="A169" s="395"/>
      <c r="B169" s="395"/>
      <c r="C169" s="395"/>
      <c r="D169" s="395"/>
      <c r="E169" s="395"/>
      <c r="F169" s="395"/>
      <c r="G169" s="395"/>
      <c r="H169" s="395"/>
      <c r="I169" s="395"/>
      <c r="J169" s="395"/>
      <c r="K169" s="395"/>
      <c r="L169" s="395"/>
    </row>
    <row r="170" spans="1:12" ht="14.25">
      <c r="A170" s="395"/>
      <c r="B170" s="395"/>
      <c r="C170" s="395"/>
      <c r="D170" s="395"/>
      <c r="E170" s="395"/>
      <c r="F170" s="395"/>
      <c r="G170" s="395"/>
      <c r="H170" s="395"/>
      <c r="I170" s="395"/>
      <c r="J170" s="395"/>
      <c r="K170" s="395"/>
      <c r="L170" s="395"/>
    </row>
    <row r="171" spans="1:12" ht="14.25">
      <c r="A171" s="395"/>
      <c r="B171" s="395"/>
      <c r="C171" s="395"/>
      <c r="D171" s="395"/>
      <c r="E171" s="395"/>
      <c r="F171" s="395"/>
      <c r="G171" s="395"/>
      <c r="H171" s="395"/>
      <c r="I171" s="395"/>
      <c r="J171" s="395"/>
      <c r="K171" s="395"/>
      <c r="L171" s="395"/>
    </row>
    <row r="172" spans="1:12" ht="14.25">
      <c r="A172" s="395"/>
      <c r="B172" s="395"/>
      <c r="C172" s="395"/>
      <c r="D172" s="395"/>
      <c r="E172" s="395"/>
      <c r="F172" s="395"/>
      <c r="G172" s="395"/>
      <c r="H172" s="395"/>
      <c r="I172" s="395"/>
      <c r="J172" s="395"/>
      <c r="K172" s="395"/>
      <c r="L172" s="395"/>
    </row>
    <row r="173" spans="1:12" ht="14.25">
      <c r="A173" s="395"/>
      <c r="B173" s="395"/>
      <c r="C173" s="395"/>
      <c r="D173" s="395"/>
      <c r="E173" s="395"/>
      <c r="F173" s="395"/>
      <c r="G173" s="395"/>
      <c r="H173" s="395"/>
      <c r="I173" s="395"/>
      <c r="J173" s="395"/>
      <c r="K173" s="395"/>
      <c r="L173" s="395"/>
    </row>
    <row r="174" spans="1:12" ht="14.25">
      <c r="A174" s="395"/>
      <c r="B174" s="395"/>
      <c r="C174" s="395"/>
      <c r="D174" s="395"/>
      <c r="E174" s="395"/>
      <c r="F174" s="395"/>
      <c r="G174" s="395"/>
      <c r="H174" s="395"/>
      <c r="I174" s="395"/>
      <c r="J174" s="395"/>
      <c r="K174" s="395"/>
      <c r="L174" s="395"/>
    </row>
    <row r="175" spans="1:12" ht="14.25">
      <c r="A175" s="395"/>
      <c r="B175" s="395"/>
      <c r="C175" s="395"/>
      <c r="D175" s="395"/>
      <c r="E175" s="395"/>
      <c r="F175" s="395"/>
      <c r="G175" s="395"/>
      <c r="H175" s="395"/>
      <c r="I175" s="395"/>
      <c r="J175" s="395"/>
      <c r="K175" s="395"/>
      <c r="L175" s="395"/>
    </row>
    <row r="176" spans="1:12" ht="14.25">
      <c r="A176" s="395"/>
      <c r="B176" s="395"/>
      <c r="C176" s="395"/>
      <c r="D176" s="395"/>
      <c r="E176" s="395"/>
      <c r="F176" s="395"/>
      <c r="G176" s="395"/>
      <c r="H176" s="395"/>
      <c r="I176" s="395"/>
      <c r="J176" s="395"/>
      <c r="K176" s="395"/>
      <c r="L176" s="395"/>
    </row>
    <row r="177" spans="1:12" ht="14.25">
      <c r="A177" s="395"/>
      <c r="B177" s="395"/>
      <c r="C177" s="395"/>
      <c r="D177" s="395"/>
      <c r="E177" s="395"/>
      <c r="F177" s="395"/>
      <c r="G177" s="395"/>
      <c r="H177" s="395"/>
      <c r="I177" s="395"/>
      <c r="J177" s="395"/>
      <c r="K177" s="395"/>
      <c r="L177" s="395"/>
    </row>
    <row r="178" spans="1:12" ht="14.25">
      <c r="A178" s="395"/>
      <c r="B178" s="395"/>
      <c r="C178" s="395"/>
      <c r="D178" s="395"/>
      <c r="E178" s="395"/>
      <c r="F178" s="395"/>
      <c r="G178" s="395"/>
      <c r="H178" s="395"/>
      <c r="I178" s="395"/>
      <c r="J178" s="395"/>
      <c r="K178" s="395"/>
      <c r="L178" s="395"/>
    </row>
    <row r="179" spans="1:12" ht="14.25">
      <c r="A179" s="395"/>
      <c r="B179" s="395"/>
      <c r="C179" s="395"/>
      <c r="D179" s="395"/>
      <c r="E179" s="395"/>
      <c r="F179" s="395"/>
      <c r="G179" s="395"/>
      <c r="H179" s="395"/>
      <c r="I179" s="395"/>
      <c r="J179" s="395"/>
      <c r="K179" s="395"/>
      <c r="L179" s="395"/>
    </row>
    <row r="180" spans="1:12" ht="14.25">
      <c r="A180" s="395"/>
      <c r="B180" s="395"/>
      <c r="C180" s="395"/>
      <c r="D180" s="395"/>
      <c r="E180" s="395"/>
      <c r="F180" s="395"/>
      <c r="G180" s="395"/>
      <c r="H180" s="395"/>
      <c r="I180" s="395"/>
      <c r="J180" s="395"/>
      <c r="K180" s="395"/>
      <c r="L180" s="395"/>
    </row>
    <row r="181" spans="1:12" ht="14.25">
      <c r="A181" s="395"/>
      <c r="B181" s="395"/>
      <c r="C181" s="395"/>
      <c r="D181" s="395"/>
      <c r="E181" s="395"/>
      <c r="F181" s="395"/>
      <c r="G181" s="395"/>
      <c r="H181" s="395"/>
      <c r="I181" s="395"/>
      <c r="J181" s="395"/>
      <c r="K181" s="395"/>
      <c r="L181" s="395"/>
    </row>
    <row r="182" spans="1:12" ht="14.25">
      <c r="A182" s="395"/>
      <c r="B182" s="395"/>
      <c r="C182" s="395"/>
      <c r="D182" s="395"/>
      <c r="E182" s="395"/>
      <c r="F182" s="395"/>
      <c r="G182" s="395"/>
      <c r="H182" s="395"/>
      <c r="I182" s="395"/>
      <c r="J182" s="395"/>
      <c r="K182" s="395"/>
      <c r="L182" s="395"/>
    </row>
    <row r="183" spans="1:12" ht="14.25">
      <c r="A183" s="395"/>
      <c r="B183" s="395"/>
      <c r="C183" s="395"/>
      <c r="D183" s="395"/>
      <c r="E183" s="395"/>
      <c r="F183" s="395"/>
      <c r="G183" s="395"/>
      <c r="H183" s="395"/>
      <c r="I183" s="395"/>
      <c r="J183" s="395"/>
      <c r="K183" s="395"/>
      <c r="L183" s="395"/>
    </row>
    <row r="184" spans="1:12" ht="14.25">
      <c r="A184" s="395"/>
      <c r="B184" s="395"/>
      <c r="C184" s="395"/>
      <c r="D184" s="395"/>
      <c r="E184" s="395"/>
      <c r="F184" s="395"/>
      <c r="G184" s="395"/>
      <c r="H184" s="395"/>
      <c r="I184" s="395"/>
      <c r="J184" s="395"/>
      <c r="K184" s="395"/>
      <c r="L184" s="395"/>
    </row>
    <row r="185" spans="1:12" ht="14.25">
      <c r="A185" s="395"/>
      <c r="B185" s="395"/>
      <c r="C185" s="395"/>
      <c r="D185" s="395"/>
      <c r="E185" s="395"/>
      <c r="F185" s="395"/>
      <c r="G185" s="395"/>
      <c r="H185" s="395"/>
      <c r="I185" s="395"/>
      <c r="J185" s="395"/>
      <c r="K185" s="395"/>
      <c r="L185" s="395"/>
    </row>
    <row r="186" spans="1:12" ht="14.25">
      <c r="A186" s="395"/>
      <c r="B186" s="395"/>
      <c r="C186" s="395"/>
      <c r="D186" s="395"/>
      <c r="E186" s="395"/>
      <c r="F186" s="395"/>
      <c r="G186" s="395"/>
      <c r="H186" s="395"/>
      <c r="I186" s="395"/>
      <c r="J186" s="395"/>
      <c r="K186" s="395"/>
      <c r="L186" s="395"/>
    </row>
    <row r="187" spans="1:12" ht="14.25">
      <c r="A187" s="395"/>
      <c r="B187" s="395"/>
      <c r="C187" s="395"/>
      <c r="D187" s="395"/>
      <c r="E187" s="395"/>
      <c r="F187" s="395"/>
      <c r="G187" s="395"/>
      <c r="H187" s="395"/>
      <c r="I187" s="395"/>
      <c r="J187" s="395"/>
      <c r="K187" s="395"/>
      <c r="L187" s="395"/>
    </row>
    <row r="188" spans="1:12" ht="14.25">
      <c r="A188" s="395"/>
      <c r="B188" s="395"/>
      <c r="C188" s="395"/>
      <c r="D188" s="395"/>
      <c r="E188" s="395"/>
      <c r="F188" s="395"/>
      <c r="G188" s="395"/>
      <c r="H188" s="395"/>
      <c r="I188" s="395"/>
      <c r="J188" s="395"/>
      <c r="K188" s="395"/>
      <c r="L188" s="395"/>
    </row>
    <row r="189" spans="1:12" ht="14.25">
      <c r="A189" s="395"/>
      <c r="B189" s="395"/>
      <c r="C189" s="395"/>
      <c r="D189" s="395"/>
      <c r="E189" s="395"/>
      <c r="F189" s="395"/>
      <c r="G189" s="395"/>
      <c r="H189" s="395"/>
      <c r="I189" s="395"/>
      <c r="J189" s="395"/>
      <c r="K189" s="395"/>
      <c r="L189" s="395"/>
    </row>
    <row r="190" spans="1:12" ht="14.25">
      <c r="A190" s="395"/>
      <c r="B190" s="395"/>
      <c r="C190" s="395"/>
      <c r="D190" s="395"/>
      <c r="E190" s="395"/>
      <c r="F190" s="395"/>
      <c r="G190" s="395"/>
      <c r="H190" s="395"/>
      <c r="I190" s="395"/>
      <c r="J190" s="395"/>
      <c r="K190" s="395"/>
      <c r="L190" s="395"/>
    </row>
    <row r="191" spans="1:12" ht="14.25">
      <c r="A191" s="395"/>
      <c r="B191" s="395"/>
      <c r="C191" s="395"/>
      <c r="D191" s="395"/>
      <c r="E191" s="395"/>
      <c r="F191" s="395"/>
      <c r="G191" s="395"/>
      <c r="H191" s="395"/>
      <c r="I191" s="395"/>
      <c r="J191" s="395"/>
      <c r="K191" s="395"/>
      <c r="L191" s="395"/>
    </row>
    <row r="192" spans="1:12" ht="14.25">
      <c r="A192" s="395"/>
      <c r="B192" s="395"/>
      <c r="C192" s="395"/>
      <c r="D192" s="395"/>
      <c r="E192" s="395"/>
      <c r="F192" s="395"/>
      <c r="G192" s="395"/>
      <c r="H192" s="395"/>
      <c r="I192" s="395"/>
      <c r="J192" s="395"/>
      <c r="K192" s="395"/>
      <c r="L192" s="395"/>
    </row>
    <row r="193" spans="1:12" ht="14.25">
      <c r="A193" s="395"/>
      <c r="B193" s="395"/>
      <c r="C193" s="395"/>
      <c r="D193" s="395"/>
      <c r="E193" s="395"/>
      <c r="F193" s="395"/>
      <c r="G193" s="395"/>
      <c r="H193" s="395"/>
      <c r="I193" s="395"/>
      <c r="J193" s="395"/>
      <c r="K193" s="395"/>
      <c r="L193" s="395"/>
    </row>
    <row r="194" spans="1:12" ht="14.25">
      <c r="A194" s="395"/>
      <c r="B194" s="395"/>
      <c r="C194" s="395"/>
      <c r="D194" s="395"/>
      <c r="E194" s="395"/>
      <c r="F194" s="395"/>
      <c r="G194" s="395"/>
      <c r="H194" s="395"/>
      <c r="I194" s="395"/>
      <c r="J194" s="395"/>
      <c r="K194" s="395"/>
      <c r="L194" s="395"/>
    </row>
    <row r="195" spans="1:12" ht="14.25">
      <c r="A195" s="395"/>
      <c r="B195" s="395"/>
      <c r="C195" s="395"/>
      <c r="D195" s="395"/>
      <c r="E195" s="395"/>
      <c r="F195" s="395"/>
      <c r="G195" s="395"/>
      <c r="H195" s="395"/>
      <c r="I195" s="395"/>
      <c r="J195" s="395"/>
      <c r="K195" s="395"/>
      <c r="L195" s="395"/>
    </row>
    <row r="196" spans="1:12" ht="14.25">
      <c r="A196" s="395"/>
      <c r="B196" s="395"/>
      <c r="C196" s="395"/>
      <c r="D196" s="395"/>
      <c r="E196" s="395"/>
      <c r="F196" s="395"/>
      <c r="G196" s="395"/>
      <c r="H196" s="395"/>
      <c r="I196" s="395"/>
      <c r="J196" s="395"/>
      <c r="K196" s="395"/>
      <c r="L196" s="395"/>
    </row>
    <row r="197" spans="1:12" ht="14.25">
      <c r="A197" s="395"/>
      <c r="B197" s="395"/>
      <c r="C197" s="395"/>
      <c r="D197" s="395"/>
      <c r="E197" s="395"/>
      <c r="F197" s="395"/>
      <c r="G197" s="395"/>
      <c r="H197" s="395"/>
      <c r="I197" s="395"/>
      <c r="J197" s="395"/>
      <c r="K197" s="395"/>
      <c r="L197" s="395"/>
    </row>
    <row r="198" spans="1:12" ht="14.25">
      <c r="A198" s="395"/>
      <c r="B198" s="395"/>
      <c r="C198" s="395"/>
      <c r="D198" s="395"/>
      <c r="E198" s="395"/>
      <c r="F198" s="395"/>
      <c r="G198" s="395"/>
      <c r="H198" s="395"/>
      <c r="I198" s="395"/>
      <c r="J198" s="395"/>
      <c r="K198" s="395"/>
      <c r="L198" s="395"/>
    </row>
    <row r="199" spans="1:12" ht="14.25">
      <c r="A199" s="395"/>
      <c r="B199" s="395"/>
      <c r="C199" s="395"/>
      <c r="D199" s="395"/>
      <c r="E199" s="395"/>
      <c r="F199" s="395"/>
      <c r="G199" s="395"/>
      <c r="H199" s="395"/>
      <c r="I199" s="395"/>
      <c r="J199" s="395"/>
      <c r="K199" s="395"/>
      <c r="L199" s="395"/>
    </row>
    <row r="200" spans="1:12" ht="14.25">
      <c r="A200" s="395"/>
      <c r="B200" s="395"/>
      <c r="C200" s="395"/>
      <c r="D200" s="395"/>
      <c r="E200" s="395"/>
      <c r="F200" s="395"/>
      <c r="G200" s="395"/>
      <c r="H200" s="395"/>
      <c r="I200" s="395"/>
      <c r="J200" s="395"/>
      <c r="K200" s="395"/>
      <c r="L200" s="395"/>
    </row>
    <row r="201" spans="1:12" ht="14.25">
      <c r="A201" s="395"/>
      <c r="B201" s="395"/>
      <c r="C201" s="395"/>
      <c r="D201" s="395"/>
      <c r="E201" s="395"/>
      <c r="F201" s="395"/>
      <c r="G201" s="395"/>
      <c r="H201" s="395"/>
      <c r="I201" s="395"/>
      <c r="J201" s="395"/>
      <c r="K201" s="395"/>
      <c r="L201" s="395"/>
    </row>
    <row r="202" spans="1:12" ht="14.25">
      <c r="A202" s="395"/>
      <c r="B202" s="395"/>
      <c r="C202" s="395"/>
      <c r="D202" s="395"/>
      <c r="E202" s="395"/>
      <c r="F202" s="395"/>
      <c r="G202" s="395"/>
      <c r="H202" s="395"/>
      <c r="I202" s="395"/>
      <c r="J202" s="395"/>
      <c r="K202" s="395"/>
      <c r="L202" s="395"/>
    </row>
    <row r="203" spans="1:12" ht="14.25">
      <c r="A203" s="395"/>
      <c r="B203" s="395"/>
      <c r="C203" s="395"/>
      <c r="D203" s="395"/>
      <c r="E203" s="395"/>
      <c r="F203" s="395"/>
      <c r="G203" s="395"/>
      <c r="H203" s="395"/>
      <c r="I203" s="395"/>
      <c r="J203" s="395"/>
      <c r="K203" s="395"/>
      <c r="L203" s="395"/>
    </row>
    <row r="204" spans="1:12" ht="14.25">
      <c r="A204" s="395"/>
      <c r="B204" s="395"/>
      <c r="C204" s="395"/>
      <c r="D204" s="395"/>
      <c r="E204" s="395"/>
      <c r="F204" s="395"/>
      <c r="G204" s="395"/>
      <c r="H204" s="395"/>
      <c r="I204" s="395"/>
      <c r="J204" s="395"/>
      <c r="K204" s="395"/>
      <c r="L204" s="395"/>
    </row>
    <row r="205" spans="1:12" ht="14.25">
      <c r="A205" s="395"/>
      <c r="B205" s="395"/>
      <c r="C205" s="395"/>
      <c r="D205" s="395"/>
      <c r="E205" s="395"/>
      <c r="F205" s="395"/>
      <c r="G205" s="395"/>
      <c r="H205" s="395"/>
      <c r="I205" s="395"/>
      <c r="J205" s="395"/>
      <c r="K205" s="395"/>
      <c r="L205" s="395"/>
    </row>
    <row r="206" spans="1:12" ht="14.25">
      <c r="A206" s="395"/>
      <c r="B206" s="395"/>
      <c r="C206" s="395"/>
      <c r="D206" s="395"/>
      <c r="E206" s="395"/>
      <c r="F206" s="395"/>
      <c r="G206" s="395"/>
      <c r="H206" s="395"/>
      <c r="I206" s="395"/>
      <c r="J206" s="395"/>
      <c r="K206" s="395"/>
      <c r="L206" s="395"/>
    </row>
    <row r="207" spans="1:12" ht="14.25">
      <c r="A207" s="395"/>
      <c r="B207" s="395"/>
      <c r="C207" s="395"/>
      <c r="D207" s="395"/>
      <c r="E207" s="395"/>
      <c r="F207" s="395"/>
      <c r="G207" s="395"/>
      <c r="H207" s="395"/>
      <c r="I207" s="395"/>
      <c r="J207" s="395"/>
      <c r="K207" s="395"/>
      <c r="L207" s="395"/>
    </row>
    <row r="208" spans="1:12" ht="14.25">
      <c r="A208" s="395"/>
      <c r="B208" s="395"/>
      <c r="C208" s="395"/>
      <c r="D208" s="395"/>
      <c r="E208" s="395"/>
      <c r="F208" s="395"/>
      <c r="G208" s="395"/>
      <c r="H208" s="395"/>
      <c r="I208" s="395"/>
      <c r="J208" s="395"/>
      <c r="K208" s="395"/>
      <c r="L208" s="395"/>
    </row>
    <row r="209" spans="1:12" ht="14.25">
      <c r="A209" s="395"/>
      <c r="B209" s="395"/>
      <c r="C209" s="395"/>
      <c r="D209" s="395"/>
      <c r="E209" s="395"/>
      <c r="F209" s="395"/>
      <c r="G209" s="395"/>
      <c r="H209" s="395"/>
      <c r="I209" s="395"/>
      <c r="J209" s="395"/>
      <c r="K209" s="395"/>
      <c r="L209" s="395"/>
    </row>
    <row r="210" spans="1:12" ht="14.25">
      <c r="A210" s="395"/>
      <c r="B210" s="395"/>
      <c r="C210" s="395"/>
      <c r="D210" s="395"/>
      <c r="E210" s="395"/>
      <c r="F210" s="395"/>
      <c r="G210" s="395"/>
      <c r="H210" s="395"/>
      <c r="I210" s="395"/>
      <c r="J210" s="395"/>
      <c r="K210" s="395"/>
      <c r="L210" s="395"/>
    </row>
    <row r="211" spans="1:12" ht="14.25">
      <c r="A211" s="395"/>
      <c r="B211" s="395"/>
      <c r="C211" s="395"/>
      <c r="D211" s="395"/>
      <c r="E211" s="395"/>
      <c r="F211" s="395"/>
      <c r="G211" s="395"/>
      <c r="H211" s="395"/>
      <c r="I211" s="395"/>
      <c r="J211" s="395"/>
      <c r="K211" s="395"/>
      <c r="L211" s="395"/>
    </row>
    <row r="212" spans="1:12" ht="14.25">
      <c r="A212" s="395"/>
      <c r="B212" s="395"/>
      <c r="C212" s="395"/>
      <c r="D212" s="395"/>
      <c r="E212" s="395"/>
      <c r="F212" s="395"/>
      <c r="G212" s="395"/>
      <c r="H212" s="395"/>
      <c r="I212" s="395"/>
      <c r="J212" s="395"/>
      <c r="K212" s="395"/>
      <c r="L212" s="395"/>
    </row>
    <row r="213" spans="1:12" ht="14.25">
      <c r="A213" s="395"/>
      <c r="B213" s="395"/>
      <c r="C213" s="395"/>
      <c r="D213" s="395"/>
      <c r="E213" s="395"/>
      <c r="F213" s="395"/>
      <c r="G213" s="395"/>
      <c r="H213" s="395"/>
      <c r="I213" s="395"/>
      <c r="J213" s="395"/>
      <c r="K213" s="395"/>
      <c r="L213" s="395"/>
    </row>
    <row r="214" spans="1:12" ht="14.25">
      <c r="A214" s="395"/>
      <c r="B214" s="395"/>
      <c r="C214" s="395"/>
      <c r="D214" s="395"/>
      <c r="E214" s="395"/>
      <c r="F214" s="395"/>
      <c r="G214" s="395"/>
      <c r="H214" s="395"/>
      <c r="I214" s="395"/>
      <c r="J214" s="395"/>
      <c r="K214" s="395"/>
      <c r="L214" s="395"/>
    </row>
    <row r="215" spans="1:12" ht="14.25">
      <c r="A215" s="395"/>
      <c r="B215" s="395"/>
      <c r="C215" s="395"/>
      <c r="D215" s="395"/>
      <c r="E215" s="395"/>
      <c r="F215" s="395"/>
      <c r="G215" s="395"/>
      <c r="H215" s="395"/>
      <c r="I215" s="395"/>
      <c r="J215" s="395"/>
      <c r="K215" s="395"/>
      <c r="L215" s="395"/>
    </row>
    <row r="216" spans="1:12" ht="14.25">
      <c r="A216" s="395"/>
      <c r="B216" s="395"/>
      <c r="C216" s="395"/>
      <c r="D216" s="395"/>
      <c r="E216" s="395"/>
      <c r="F216" s="395"/>
      <c r="G216" s="395"/>
      <c r="H216" s="395"/>
      <c r="I216" s="395"/>
      <c r="J216" s="395"/>
      <c r="K216" s="395"/>
      <c r="L216" s="395"/>
    </row>
    <row r="217" spans="1:12" ht="14.25">
      <c r="A217" s="395"/>
      <c r="B217" s="395"/>
      <c r="C217" s="395"/>
      <c r="D217" s="395"/>
      <c r="E217" s="395"/>
      <c r="F217" s="395"/>
      <c r="G217" s="395"/>
      <c r="H217" s="395"/>
      <c r="I217" s="395"/>
      <c r="J217" s="395"/>
      <c r="K217" s="395"/>
      <c r="L217" s="395"/>
    </row>
    <row r="218" spans="1:12" ht="14.25">
      <c r="A218" s="395"/>
      <c r="B218" s="395"/>
      <c r="C218" s="395"/>
      <c r="D218" s="395"/>
      <c r="E218" s="395"/>
      <c r="F218" s="395"/>
      <c r="G218" s="395"/>
      <c r="H218" s="395"/>
      <c r="I218" s="395"/>
      <c r="J218" s="395"/>
      <c r="K218" s="395"/>
      <c r="L218" s="395"/>
    </row>
    <row r="219" spans="1:12" ht="14.25">
      <c r="A219" s="395"/>
      <c r="B219" s="395"/>
      <c r="C219" s="395"/>
      <c r="D219" s="395"/>
      <c r="E219" s="395"/>
      <c r="F219" s="395"/>
      <c r="G219" s="395"/>
      <c r="H219" s="395"/>
      <c r="I219" s="395"/>
      <c r="J219" s="395"/>
      <c r="K219" s="395"/>
      <c r="L219" s="395"/>
    </row>
    <row r="220" spans="1:12" ht="14.25">
      <c r="A220" s="395"/>
      <c r="B220" s="395"/>
      <c r="C220" s="395"/>
      <c r="D220" s="395"/>
      <c r="E220" s="395"/>
      <c r="F220" s="395"/>
      <c r="G220" s="395"/>
      <c r="H220" s="395"/>
      <c r="I220" s="395"/>
      <c r="J220" s="395"/>
      <c r="K220" s="395"/>
      <c r="L220" s="395"/>
    </row>
    <row r="221" spans="1:12" ht="14.25">
      <c r="A221" s="395"/>
      <c r="B221" s="395"/>
      <c r="C221" s="395"/>
      <c r="D221" s="395"/>
      <c r="E221" s="395"/>
      <c r="F221" s="395"/>
      <c r="G221" s="395"/>
      <c r="H221" s="395"/>
      <c r="I221" s="395"/>
      <c r="J221" s="395"/>
      <c r="K221" s="395"/>
      <c r="L221" s="395"/>
    </row>
    <row r="222" spans="1:12" ht="14.25">
      <c r="A222" s="395"/>
      <c r="B222" s="395"/>
      <c r="C222" s="395"/>
      <c r="D222" s="395"/>
      <c r="E222" s="395"/>
      <c r="F222" s="395"/>
      <c r="G222" s="395"/>
      <c r="H222" s="395"/>
      <c r="I222" s="395"/>
      <c r="J222" s="395"/>
      <c r="K222" s="395"/>
      <c r="L222" s="395"/>
    </row>
    <row r="223" spans="1:12" ht="14.25">
      <c r="A223" s="395"/>
      <c r="B223" s="395"/>
      <c r="C223" s="395"/>
      <c r="D223" s="395"/>
      <c r="E223" s="395"/>
      <c r="F223" s="395"/>
      <c r="G223" s="395"/>
      <c r="H223" s="395"/>
      <c r="I223" s="395"/>
      <c r="J223" s="395"/>
      <c r="K223" s="395"/>
      <c r="L223" s="395"/>
    </row>
    <row r="224" spans="1:12" ht="14.25">
      <c r="A224" s="395"/>
      <c r="B224" s="395"/>
      <c r="C224" s="395"/>
      <c r="D224" s="395"/>
      <c r="E224" s="395"/>
      <c r="F224" s="395"/>
      <c r="G224" s="395"/>
      <c r="H224" s="395"/>
      <c r="I224" s="395"/>
      <c r="J224" s="395"/>
      <c r="K224" s="395"/>
      <c r="L224" s="395"/>
    </row>
    <row r="225" spans="1:12" ht="14.25">
      <c r="A225" s="395"/>
      <c r="B225" s="395"/>
      <c r="C225" s="395"/>
      <c r="D225" s="395"/>
      <c r="E225" s="395"/>
      <c r="F225" s="395"/>
      <c r="G225" s="395"/>
      <c r="H225" s="395"/>
      <c r="I225" s="395"/>
      <c r="J225" s="395"/>
      <c r="K225" s="395"/>
      <c r="L225" s="395"/>
    </row>
    <row r="226" spans="1:12" ht="14.25">
      <c r="A226" s="395"/>
      <c r="B226" s="395"/>
      <c r="C226" s="395"/>
      <c r="D226" s="395"/>
      <c r="E226" s="395"/>
      <c r="F226" s="395"/>
      <c r="G226" s="395"/>
      <c r="H226" s="395"/>
      <c r="I226" s="395"/>
      <c r="J226" s="395"/>
      <c r="K226" s="395"/>
      <c r="L226" s="395"/>
    </row>
    <row r="227" spans="1:12" ht="14.25">
      <c r="A227" s="395"/>
      <c r="B227" s="395"/>
      <c r="C227" s="395"/>
      <c r="D227" s="395"/>
      <c r="E227" s="395"/>
      <c r="F227" s="395"/>
      <c r="G227" s="395"/>
      <c r="H227" s="395"/>
      <c r="I227" s="395"/>
      <c r="J227" s="395"/>
      <c r="K227" s="395"/>
      <c r="L227" s="395"/>
    </row>
    <row r="228" spans="1:12" ht="14.25">
      <c r="A228" s="395"/>
      <c r="B228" s="395"/>
      <c r="C228" s="395"/>
      <c r="D228" s="395"/>
      <c r="E228" s="395"/>
      <c r="F228" s="395"/>
      <c r="G228" s="395"/>
      <c r="H228" s="395"/>
      <c r="I228" s="395"/>
      <c r="J228" s="395"/>
      <c r="K228" s="395"/>
      <c r="L228" s="395"/>
    </row>
    <row r="229" spans="1:12" ht="14.25">
      <c r="A229" s="395"/>
      <c r="B229" s="395"/>
      <c r="C229" s="395"/>
      <c r="D229" s="395"/>
      <c r="E229" s="395"/>
      <c r="F229" s="395"/>
      <c r="G229" s="395"/>
      <c r="H229" s="395"/>
      <c r="I229" s="395"/>
      <c r="J229" s="395"/>
      <c r="K229" s="395"/>
      <c r="L229" s="395"/>
    </row>
    <row r="230" spans="1:12" ht="14.25">
      <c r="A230" s="395"/>
      <c r="B230" s="395"/>
      <c r="C230" s="395"/>
      <c r="D230" s="395"/>
      <c r="E230" s="395"/>
      <c r="F230" s="395"/>
      <c r="G230" s="395"/>
      <c r="H230" s="395"/>
      <c r="I230" s="395"/>
      <c r="J230" s="395"/>
      <c r="K230" s="395"/>
      <c r="L230" s="395"/>
    </row>
    <row r="231" spans="1:12" ht="14.25">
      <c r="A231" s="395"/>
      <c r="B231" s="395"/>
      <c r="C231" s="395"/>
      <c r="D231" s="395"/>
      <c r="E231" s="395"/>
      <c r="F231" s="395"/>
      <c r="G231" s="395"/>
      <c r="H231" s="395"/>
      <c r="I231" s="395"/>
      <c r="J231" s="395"/>
      <c r="K231" s="395"/>
      <c r="L231" s="395"/>
    </row>
    <row r="232" spans="1:12" ht="14.25">
      <c r="A232" s="395"/>
      <c r="B232" s="395"/>
      <c r="C232" s="395"/>
      <c r="D232" s="395"/>
      <c r="E232" s="395"/>
      <c r="F232" s="395"/>
      <c r="G232" s="395"/>
      <c r="H232" s="395"/>
      <c r="I232" s="395"/>
      <c r="J232" s="395"/>
      <c r="K232" s="395"/>
      <c r="L232" s="395"/>
    </row>
    <row r="233" spans="1:12" ht="14.25">
      <c r="A233" s="395"/>
      <c r="B233" s="395"/>
      <c r="C233" s="395"/>
      <c r="D233" s="395"/>
      <c r="E233" s="395"/>
      <c r="F233" s="395"/>
      <c r="G233" s="395"/>
      <c r="H233" s="395"/>
      <c r="I233" s="395"/>
      <c r="J233" s="395"/>
      <c r="K233" s="395"/>
      <c r="L233" s="395"/>
    </row>
    <row r="234" spans="1:12" ht="14.25">
      <c r="A234" s="395"/>
      <c r="B234" s="395"/>
      <c r="C234" s="395"/>
      <c r="D234" s="395"/>
      <c r="E234" s="395"/>
      <c r="F234" s="395"/>
      <c r="G234" s="395"/>
      <c r="H234" s="395"/>
      <c r="I234" s="395"/>
      <c r="J234" s="395"/>
      <c r="K234" s="395"/>
      <c r="L234" s="395"/>
    </row>
    <row r="235" spans="1:12" ht="14.25">
      <c r="A235" s="395"/>
      <c r="B235" s="395"/>
      <c r="C235" s="395"/>
      <c r="D235" s="395"/>
      <c r="E235" s="395"/>
      <c r="F235" s="395"/>
      <c r="G235" s="395"/>
      <c r="H235" s="395"/>
      <c r="I235" s="395"/>
      <c r="J235" s="395"/>
      <c r="K235" s="395"/>
      <c r="L235" s="395"/>
    </row>
    <row r="236" spans="1:12" ht="14.25">
      <c r="A236" s="395"/>
      <c r="B236" s="395"/>
      <c r="C236" s="395"/>
      <c r="D236" s="395"/>
      <c r="E236" s="395"/>
      <c r="F236" s="395"/>
      <c r="G236" s="395"/>
      <c r="H236" s="395"/>
      <c r="I236" s="395"/>
      <c r="J236" s="395"/>
      <c r="K236" s="395"/>
      <c r="L236" s="395"/>
    </row>
    <row r="237" spans="1:12" ht="14.25">
      <c r="A237" s="395"/>
      <c r="B237" s="395"/>
      <c r="C237" s="395"/>
      <c r="D237" s="395"/>
      <c r="E237" s="395"/>
      <c r="F237" s="395"/>
      <c r="G237" s="395"/>
      <c r="H237" s="395"/>
      <c r="I237" s="395"/>
      <c r="J237" s="395"/>
      <c r="K237" s="395"/>
      <c r="L237" s="395"/>
    </row>
    <row r="238" spans="1:12" ht="14.25">
      <c r="A238" s="395"/>
      <c r="B238" s="395"/>
      <c r="C238" s="395"/>
      <c r="D238" s="395"/>
      <c r="E238" s="395"/>
      <c r="F238" s="395"/>
      <c r="G238" s="395"/>
      <c r="H238" s="395"/>
      <c r="I238" s="395"/>
      <c r="J238" s="395"/>
      <c r="K238" s="395"/>
      <c r="L238" s="395"/>
    </row>
    <row r="239" spans="1:12" ht="14.25">
      <c r="A239" s="395"/>
      <c r="B239" s="395"/>
      <c r="C239" s="395"/>
      <c r="D239" s="395"/>
      <c r="E239" s="395"/>
      <c r="F239" s="395"/>
      <c r="G239" s="395"/>
      <c r="H239" s="395"/>
      <c r="I239" s="395"/>
      <c r="J239" s="395"/>
      <c r="K239" s="395"/>
      <c r="L239" s="395"/>
    </row>
    <row r="240" spans="1:12" ht="14.25">
      <c r="A240" s="395"/>
      <c r="B240" s="395"/>
      <c r="C240" s="395"/>
      <c r="D240" s="395"/>
      <c r="E240" s="395"/>
      <c r="F240" s="395"/>
      <c r="G240" s="395"/>
      <c r="H240" s="395"/>
      <c r="I240" s="395"/>
      <c r="J240" s="395"/>
      <c r="K240" s="395"/>
      <c r="L240" s="395"/>
    </row>
    <row r="241" spans="1:12" ht="14.25">
      <c r="A241" s="395"/>
      <c r="B241" s="395"/>
      <c r="C241" s="395"/>
      <c r="D241" s="395"/>
      <c r="E241" s="395"/>
      <c r="F241" s="395"/>
      <c r="G241" s="395"/>
      <c r="H241" s="395"/>
      <c r="I241" s="395"/>
      <c r="J241" s="395"/>
      <c r="K241" s="395"/>
      <c r="L241" s="395"/>
    </row>
    <row r="242" spans="1:12" ht="14.25">
      <c r="A242" s="395"/>
      <c r="B242" s="395"/>
      <c r="C242" s="395"/>
      <c r="D242" s="395"/>
      <c r="E242" s="395"/>
      <c r="F242" s="395"/>
      <c r="G242" s="395"/>
      <c r="H242" s="395"/>
      <c r="I242" s="395"/>
      <c r="J242" s="395"/>
      <c r="K242" s="395"/>
      <c r="L242" s="395"/>
    </row>
    <row r="243" spans="1:12" ht="14.25">
      <c r="A243" s="395"/>
      <c r="B243" s="395"/>
      <c r="C243" s="395"/>
      <c r="D243" s="395"/>
      <c r="E243" s="395"/>
      <c r="F243" s="395"/>
      <c r="G243" s="395"/>
      <c r="H243" s="395"/>
      <c r="I243" s="395"/>
      <c r="J243" s="395"/>
      <c r="K243" s="395"/>
      <c r="L243" s="395"/>
    </row>
    <row r="244" spans="1:12" ht="14.25">
      <c r="A244" s="395"/>
      <c r="B244" s="395"/>
      <c r="C244" s="395"/>
      <c r="D244" s="395"/>
      <c r="E244" s="395"/>
      <c r="F244" s="395"/>
      <c r="G244" s="395"/>
      <c r="H244" s="395"/>
      <c r="I244" s="395"/>
      <c r="J244" s="395"/>
      <c r="K244" s="395"/>
      <c r="L244" s="395"/>
    </row>
    <row r="245" spans="1:12" ht="14.25">
      <c r="A245" s="395"/>
      <c r="B245" s="395"/>
      <c r="C245" s="395"/>
      <c r="D245" s="395"/>
      <c r="E245" s="395"/>
      <c r="F245" s="395"/>
      <c r="G245" s="395"/>
      <c r="H245" s="395"/>
      <c r="I245" s="395"/>
      <c r="J245" s="395"/>
      <c r="K245" s="395"/>
      <c r="L245" s="395"/>
    </row>
    <row r="246" spans="1:12" ht="14.25">
      <c r="A246" s="395"/>
      <c r="B246" s="395"/>
      <c r="C246" s="395"/>
      <c r="D246" s="395"/>
      <c r="E246" s="395"/>
      <c r="F246" s="395"/>
      <c r="G246" s="395"/>
      <c r="H246" s="395"/>
      <c r="I246" s="395"/>
      <c r="J246" s="395"/>
      <c r="K246" s="395"/>
      <c r="L246" s="395"/>
    </row>
    <row r="247" spans="1:12" ht="14.25">
      <c r="A247" s="395"/>
      <c r="B247" s="395"/>
      <c r="C247" s="395"/>
      <c r="D247" s="395"/>
      <c r="E247" s="395"/>
      <c r="F247" s="395"/>
      <c r="G247" s="395"/>
      <c r="H247" s="395"/>
      <c r="I247" s="395"/>
      <c r="J247" s="395"/>
      <c r="K247" s="395"/>
      <c r="L247" s="395"/>
    </row>
    <row r="248" spans="1:12" ht="14.25">
      <c r="A248" s="395"/>
      <c r="B248" s="395"/>
      <c r="C248" s="395"/>
      <c r="D248" s="395"/>
      <c r="E248" s="395"/>
      <c r="F248" s="395"/>
      <c r="G248" s="395"/>
      <c r="H248" s="395"/>
      <c r="I248" s="395"/>
      <c r="J248" s="395"/>
      <c r="K248" s="395"/>
      <c r="L248" s="395"/>
    </row>
    <row r="249" spans="1:12" ht="14.25">
      <c r="A249" s="395"/>
      <c r="B249" s="395"/>
      <c r="C249" s="395"/>
      <c r="D249" s="395"/>
      <c r="E249" s="395"/>
      <c r="F249" s="395"/>
      <c r="G249" s="395"/>
      <c r="H249" s="395"/>
      <c r="I249" s="395"/>
      <c r="J249" s="395"/>
      <c r="K249" s="395"/>
      <c r="L249" s="395"/>
    </row>
    <row r="250" spans="1:12" ht="14.25">
      <c r="A250" s="395"/>
      <c r="B250" s="395"/>
      <c r="C250" s="395"/>
      <c r="D250" s="395"/>
      <c r="E250" s="395"/>
      <c r="F250" s="395"/>
      <c r="G250" s="395"/>
      <c r="H250" s="395"/>
      <c r="I250" s="395"/>
      <c r="J250" s="395"/>
      <c r="K250" s="395"/>
      <c r="L250" s="395"/>
    </row>
    <row r="251" spans="1:12" ht="14.25">
      <c r="A251" s="395"/>
      <c r="B251" s="395"/>
      <c r="C251" s="395"/>
      <c r="D251" s="395"/>
      <c r="E251" s="395"/>
      <c r="F251" s="395"/>
      <c r="G251" s="395"/>
      <c r="H251" s="395"/>
      <c r="I251" s="395"/>
      <c r="J251" s="395"/>
      <c r="K251" s="395"/>
      <c r="L251" s="395"/>
    </row>
    <row r="252" spans="1:12" ht="14.25">
      <c r="A252" s="395"/>
      <c r="B252" s="395"/>
      <c r="C252" s="395"/>
      <c r="D252" s="395"/>
      <c r="E252" s="395"/>
      <c r="F252" s="395"/>
      <c r="G252" s="395"/>
      <c r="H252" s="395"/>
      <c r="I252" s="395"/>
      <c r="J252" s="395"/>
      <c r="K252" s="395"/>
      <c r="L252" s="395"/>
    </row>
    <row r="253" spans="1:12" ht="14.25">
      <c r="A253" s="395"/>
      <c r="B253" s="395"/>
      <c r="C253" s="395"/>
      <c r="D253" s="395"/>
      <c r="E253" s="395"/>
      <c r="F253" s="395"/>
      <c r="G253" s="395"/>
      <c r="H253" s="395"/>
      <c r="I253" s="395"/>
      <c r="J253" s="395"/>
      <c r="K253" s="395"/>
      <c r="L253" s="395"/>
    </row>
    <row r="254" spans="1:12" ht="14.25">
      <c r="A254" s="395"/>
      <c r="B254" s="395"/>
      <c r="C254" s="395"/>
      <c r="D254" s="395"/>
      <c r="E254" s="395"/>
      <c r="F254" s="395"/>
      <c r="G254" s="395"/>
      <c r="H254" s="395"/>
      <c r="I254" s="395"/>
      <c r="J254" s="395"/>
      <c r="K254" s="395"/>
      <c r="L254" s="395"/>
    </row>
    <row r="255" spans="1:12" ht="14.25">
      <c r="A255" s="395"/>
      <c r="B255" s="395"/>
      <c r="C255" s="395"/>
      <c r="D255" s="395"/>
      <c r="E255" s="395"/>
      <c r="F255" s="395"/>
      <c r="G255" s="395"/>
      <c r="H255" s="395"/>
      <c r="I255" s="395"/>
      <c r="J255" s="395"/>
      <c r="K255" s="395"/>
      <c r="L255" s="395"/>
    </row>
    <row r="256" spans="1:12" ht="14.25">
      <c r="A256" s="395"/>
      <c r="B256" s="395"/>
      <c r="C256" s="395"/>
      <c r="D256" s="395"/>
      <c r="E256" s="395"/>
      <c r="F256" s="395"/>
      <c r="G256" s="395"/>
      <c r="H256" s="395"/>
      <c r="I256" s="395"/>
      <c r="J256" s="395"/>
      <c r="K256" s="395"/>
      <c r="L256" s="395"/>
    </row>
    <row r="257" spans="1:12" ht="14.25">
      <c r="A257" s="395"/>
      <c r="B257" s="395"/>
      <c r="C257" s="395"/>
      <c r="D257" s="395"/>
      <c r="E257" s="395"/>
      <c r="F257" s="395"/>
      <c r="G257" s="395"/>
      <c r="H257" s="395"/>
      <c r="I257" s="395"/>
      <c r="J257" s="395"/>
      <c r="K257" s="395"/>
      <c r="L257" s="395"/>
    </row>
    <row r="258" spans="1:12" ht="14.25">
      <c r="A258" s="395"/>
      <c r="B258" s="395"/>
      <c r="C258" s="395"/>
      <c r="D258" s="395"/>
      <c r="E258" s="395"/>
      <c r="F258" s="395"/>
      <c r="G258" s="395"/>
      <c r="H258" s="395"/>
      <c r="I258" s="395"/>
      <c r="J258" s="395"/>
      <c r="K258" s="395"/>
      <c r="L258" s="395"/>
    </row>
    <row r="259" spans="1:12" ht="14.25">
      <c r="A259" s="395"/>
      <c r="B259" s="395"/>
      <c r="C259" s="395"/>
      <c r="D259" s="395"/>
      <c r="E259" s="395"/>
      <c r="F259" s="395"/>
      <c r="G259" s="395"/>
      <c r="H259" s="395"/>
      <c r="I259" s="395"/>
      <c r="J259" s="395"/>
      <c r="K259" s="395"/>
      <c r="L259" s="395"/>
    </row>
    <row r="260" spans="1:12" ht="14.25">
      <c r="A260" s="395"/>
      <c r="B260" s="395"/>
      <c r="C260" s="395"/>
      <c r="D260" s="395"/>
      <c r="E260" s="395"/>
      <c r="F260" s="395"/>
      <c r="G260" s="395"/>
      <c r="H260" s="395"/>
      <c r="I260" s="395"/>
      <c r="J260" s="395"/>
      <c r="K260" s="395"/>
      <c r="L260" s="395"/>
    </row>
    <row r="261" spans="1:12" ht="14.25">
      <c r="A261" s="395"/>
      <c r="B261" s="395"/>
      <c r="C261" s="395"/>
      <c r="D261" s="395"/>
      <c r="E261" s="395"/>
      <c r="F261" s="395"/>
      <c r="G261" s="395"/>
      <c r="H261" s="395"/>
      <c r="I261" s="395"/>
      <c r="J261" s="395"/>
      <c r="K261" s="395"/>
      <c r="L261" s="395"/>
    </row>
    <row r="262" spans="1:12" ht="14.25">
      <c r="A262" s="395"/>
      <c r="B262" s="395"/>
      <c r="C262" s="395"/>
      <c r="D262" s="395"/>
      <c r="E262" s="395"/>
      <c r="F262" s="395"/>
      <c r="G262" s="395"/>
      <c r="H262" s="395"/>
      <c r="I262" s="395"/>
      <c r="J262" s="395"/>
      <c r="K262" s="395"/>
      <c r="L262" s="395"/>
    </row>
    <row r="263" spans="1:12" ht="14.25">
      <c r="A263" s="395"/>
      <c r="B263" s="395"/>
      <c r="C263" s="395"/>
      <c r="D263" s="395"/>
      <c r="E263" s="395"/>
      <c r="F263" s="395"/>
      <c r="G263" s="395"/>
      <c r="H263" s="395"/>
      <c r="I263" s="395"/>
      <c r="J263" s="395"/>
      <c r="K263" s="395"/>
      <c r="L263" s="395"/>
    </row>
    <row r="264" spans="1:12" ht="14.25">
      <c r="A264" s="395"/>
      <c r="B264" s="395"/>
      <c r="C264" s="395"/>
      <c r="D264" s="395"/>
      <c r="E264" s="395"/>
      <c r="F264" s="395"/>
      <c r="G264" s="395"/>
      <c r="H264" s="395"/>
      <c r="I264" s="395"/>
      <c r="J264" s="395"/>
      <c r="K264" s="395"/>
      <c r="L264" s="395"/>
    </row>
    <row r="265" spans="1:12" ht="14.25">
      <c r="A265" s="395"/>
      <c r="B265" s="395"/>
      <c r="C265" s="395"/>
      <c r="D265" s="395"/>
      <c r="E265" s="395"/>
      <c r="F265" s="395"/>
      <c r="G265" s="395"/>
      <c r="H265" s="395"/>
      <c r="I265" s="395"/>
      <c r="J265" s="395"/>
      <c r="K265" s="395"/>
      <c r="L265" s="395"/>
    </row>
    <row r="266" spans="1:12" ht="14.25">
      <c r="A266" s="395"/>
      <c r="B266" s="395"/>
      <c r="C266" s="395"/>
      <c r="D266" s="395"/>
      <c r="E266" s="395"/>
      <c r="F266" s="395"/>
      <c r="G266" s="395"/>
      <c r="H266" s="395"/>
      <c r="I266" s="395"/>
      <c r="J266" s="395"/>
      <c r="K266" s="395"/>
      <c r="L266" s="395"/>
    </row>
    <row r="267" spans="1:12" ht="14.25">
      <c r="A267" s="395"/>
      <c r="B267" s="395"/>
      <c r="C267" s="395"/>
      <c r="D267" s="395"/>
      <c r="E267" s="395"/>
      <c r="F267" s="395"/>
      <c r="G267" s="395"/>
      <c r="H267" s="395"/>
      <c r="I267" s="395"/>
      <c r="J267" s="395"/>
      <c r="K267" s="395"/>
      <c r="L267" s="395"/>
    </row>
    <row r="268" spans="1:12" ht="14.25">
      <c r="A268" s="395"/>
      <c r="B268" s="395"/>
      <c r="C268" s="395"/>
      <c r="D268" s="395"/>
      <c r="E268" s="395"/>
      <c r="F268" s="395"/>
      <c r="G268" s="395"/>
      <c r="H268" s="395"/>
      <c r="I268" s="395"/>
      <c r="J268" s="395"/>
      <c r="K268" s="395"/>
      <c r="L268" s="395"/>
    </row>
    <row r="269" spans="1:12" ht="14.25">
      <c r="A269" s="395"/>
      <c r="B269" s="395"/>
      <c r="C269" s="395"/>
      <c r="D269" s="395"/>
      <c r="E269" s="395"/>
      <c r="F269" s="395"/>
      <c r="G269" s="395"/>
      <c r="H269" s="395"/>
      <c r="I269" s="395"/>
      <c r="J269" s="395"/>
      <c r="K269" s="395"/>
      <c r="L269" s="395"/>
    </row>
    <row r="270" spans="1:12" ht="14.25">
      <c r="A270" s="395"/>
      <c r="B270" s="395"/>
      <c r="C270" s="395"/>
      <c r="D270" s="395"/>
      <c r="E270" s="395"/>
      <c r="F270" s="395"/>
      <c r="G270" s="395"/>
      <c r="H270" s="395"/>
      <c r="I270" s="395"/>
      <c r="J270" s="395"/>
      <c r="K270" s="395"/>
      <c r="L270" s="395"/>
    </row>
    <row r="271" spans="1:12" ht="14.25">
      <c r="A271" s="395"/>
      <c r="B271" s="395"/>
      <c r="C271" s="395"/>
      <c r="D271" s="395"/>
      <c r="E271" s="395"/>
      <c r="F271" s="395"/>
      <c r="G271" s="395"/>
      <c r="H271" s="395"/>
      <c r="I271" s="395"/>
      <c r="J271" s="395"/>
      <c r="K271" s="395"/>
      <c r="L271" s="395"/>
    </row>
    <row r="272" spans="1:12" ht="14.25">
      <c r="A272" s="395"/>
      <c r="B272" s="395"/>
      <c r="C272" s="395"/>
      <c r="D272" s="395"/>
      <c r="E272" s="395"/>
      <c r="F272" s="395"/>
      <c r="G272" s="395"/>
      <c r="H272" s="395"/>
      <c r="I272" s="395"/>
      <c r="J272" s="395"/>
      <c r="K272" s="395"/>
      <c r="L272" s="395"/>
    </row>
    <row r="273" spans="1:12" ht="14.25">
      <c r="A273" s="395"/>
      <c r="B273" s="395"/>
      <c r="C273" s="395"/>
      <c r="D273" s="395"/>
      <c r="E273" s="395"/>
      <c r="F273" s="395"/>
      <c r="G273" s="395"/>
      <c r="H273" s="395"/>
      <c r="I273" s="395"/>
      <c r="J273" s="395"/>
      <c r="K273" s="395"/>
      <c r="L273" s="395"/>
    </row>
    <row r="274" spans="1:12" ht="14.25">
      <c r="A274" s="395"/>
      <c r="B274" s="395"/>
      <c r="C274" s="395"/>
      <c r="D274" s="395"/>
      <c r="E274" s="395"/>
      <c r="F274" s="395"/>
      <c r="G274" s="395"/>
      <c r="H274" s="395"/>
      <c r="I274" s="395"/>
      <c r="J274" s="395"/>
      <c r="K274" s="395"/>
      <c r="L274" s="395"/>
    </row>
    <row r="275" spans="1:12" ht="14.25">
      <c r="A275" s="395"/>
      <c r="B275" s="395"/>
      <c r="C275" s="395"/>
      <c r="D275" s="395"/>
      <c r="E275" s="395"/>
      <c r="F275" s="395"/>
      <c r="G275" s="395"/>
      <c r="H275" s="395"/>
      <c r="I275" s="395"/>
      <c r="J275" s="395"/>
      <c r="K275" s="395"/>
      <c r="L275" s="395"/>
    </row>
    <row r="276" spans="1:12" ht="14.25">
      <c r="A276" s="395"/>
      <c r="B276" s="395"/>
      <c r="C276" s="395"/>
      <c r="D276" s="395"/>
      <c r="E276" s="395"/>
      <c r="F276" s="395"/>
      <c r="G276" s="395"/>
      <c r="H276" s="395"/>
      <c r="I276" s="395"/>
      <c r="J276" s="395"/>
      <c r="K276" s="395"/>
      <c r="L276" s="395"/>
    </row>
    <row r="277" spans="1:12" ht="14.25">
      <c r="A277" s="395"/>
      <c r="B277" s="395"/>
      <c r="C277" s="395"/>
      <c r="D277" s="395"/>
      <c r="E277" s="395"/>
      <c r="F277" s="395"/>
      <c r="G277" s="395"/>
      <c r="H277" s="395"/>
      <c r="I277" s="395"/>
      <c r="J277" s="395"/>
      <c r="K277" s="395"/>
      <c r="L277" s="395"/>
    </row>
    <row r="278" spans="1:12" ht="14.25">
      <c r="A278" s="395"/>
      <c r="B278" s="395"/>
      <c r="C278" s="395"/>
      <c r="D278" s="395"/>
      <c r="E278" s="395"/>
      <c r="F278" s="395"/>
      <c r="G278" s="395"/>
      <c r="H278" s="395"/>
      <c r="I278" s="395"/>
      <c r="J278" s="395"/>
      <c r="K278" s="395"/>
      <c r="L278" s="395"/>
    </row>
    <row r="279" spans="1:12" ht="14.25">
      <c r="A279" s="395"/>
      <c r="B279" s="395"/>
      <c r="C279" s="395"/>
      <c r="D279" s="395"/>
      <c r="E279" s="395"/>
      <c r="F279" s="395"/>
      <c r="G279" s="395"/>
      <c r="H279" s="395"/>
      <c r="I279" s="395"/>
      <c r="J279" s="395"/>
      <c r="K279" s="395"/>
      <c r="L279" s="395"/>
    </row>
    <row r="280" spans="1:12" ht="14.25">
      <c r="A280" s="395"/>
      <c r="B280" s="395"/>
      <c r="C280" s="395"/>
      <c r="D280" s="395"/>
      <c r="E280" s="395"/>
      <c r="F280" s="395"/>
      <c r="G280" s="395"/>
      <c r="H280" s="395"/>
      <c r="I280" s="395"/>
      <c r="J280" s="395"/>
      <c r="K280" s="395"/>
      <c r="L280" s="395"/>
    </row>
    <row r="281" spans="1:12" ht="14.25">
      <c r="A281" s="395"/>
      <c r="B281" s="395"/>
      <c r="C281" s="395"/>
      <c r="D281" s="395"/>
      <c r="E281" s="395"/>
      <c r="F281" s="395"/>
      <c r="G281" s="395"/>
      <c r="H281" s="395"/>
      <c r="I281" s="395"/>
      <c r="J281" s="395"/>
      <c r="K281" s="395"/>
      <c r="L281" s="395"/>
    </row>
    <row r="282" spans="1:12" ht="14.25">
      <c r="A282" s="395"/>
      <c r="B282" s="395"/>
      <c r="C282" s="395"/>
      <c r="D282" s="395"/>
      <c r="E282" s="395"/>
      <c r="F282" s="395"/>
      <c r="G282" s="395"/>
      <c r="H282" s="395"/>
      <c r="I282" s="395"/>
      <c r="J282" s="395"/>
      <c r="K282" s="395"/>
      <c r="L282" s="395"/>
    </row>
    <row r="283" spans="1:12" ht="14.25">
      <c r="A283" s="395"/>
      <c r="B283" s="395"/>
      <c r="C283" s="395"/>
      <c r="D283" s="395"/>
      <c r="E283" s="395"/>
      <c r="F283" s="395"/>
      <c r="G283" s="395"/>
      <c r="H283" s="395"/>
      <c r="I283" s="395"/>
      <c r="J283" s="395"/>
      <c r="K283" s="395"/>
      <c r="L283" s="395"/>
    </row>
    <row r="284" spans="1:12" ht="14.25">
      <c r="A284" s="395"/>
      <c r="B284" s="395"/>
      <c r="C284" s="395"/>
      <c r="D284" s="395"/>
      <c r="E284" s="395"/>
      <c r="F284" s="395"/>
      <c r="G284" s="395"/>
      <c r="H284" s="395"/>
      <c r="I284" s="395"/>
      <c r="J284" s="395"/>
      <c r="K284" s="395"/>
      <c r="L284" s="395"/>
    </row>
    <row r="285" spans="1:12" ht="14.25">
      <c r="A285" s="395"/>
      <c r="B285" s="395"/>
      <c r="C285" s="395"/>
      <c r="D285" s="395"/>
      <c r="E285" s="395"/>
      <c r="F285" s="395"/>
      <c r="G285" s="395"/>
      <c r="H285" s="395"/>
      <c r="I285" s="395"/>
      <c r="J285" s="395"/>
      <c r="K285" s="395"/>
      <c r="L285" s="395"/>
    </row>
    <row r="286" spans="1:12" ht="14.25">
      <c r="A286" s="395"/>
      <c r="B286" s="395"/>
      <c r="C286" s="395"/>
      <c r="D286" s="395"/>
      <c r="E286" s="395"/>
      <c r="F286" s="395"/>
      <c r="G286" s="395"/>
      <c r="H286" s="395"/>
      <c r="I286" s="395"/>
      <c r="J286" s="395"/>
      <c r="K286" s="395"/>
      <c r="L286" s="395"/>
    </row>
    <row r="287" spans="1:12" ht="14.25">
      <c r="A287" s="395"/>
      <c r="B287" s="395"/>
      <c r="C287" s="395"/>
      <c r="D287" s="395"/>
      <c r="E287" s="395"/>
      <c r="F287" s="395"/>
      <c r="G287" s="395"/>
      <c r="H287" s="395"/>
      <c r="I287" s="395"/>
      <c r="J287" s="395"/>
      <c r="K287" s="395"/>
      <c r="L287" s="395"/>
    </row>
    <row r="288" spans="1:12" ht="14.25">
      <c r="A288" s="395"/>
      <c r="B288" s="395"/>
      <c r="C288" s="395"/>
      <c r="D288" s="395"/>
      <c r="E288" s="395"/>
      <c r="F288" s="395"/>
      <c r="G288" s="395"/>
      <c r="H288" s="395"/>
      <c r="I288" s="395"/>
      <c r="J288" s="395"/>
      <c r="K288" s="395"/>
      <c r="L288" s="395"/>
    </row>
    <row r="289" spans="1:12" ht="14.25">
      <c r="A289" s="395"/>
      <c r="B289" s="395"/>
      <c r="C289" s="395"/>
      <c r="D289" s="395"/>
      <c r="E289" s="395"/>
      <c r="F289" s="395"/>
      <c r="G289" s="395"/>
      <c r="H289" s="395"/>
      <c r="I289" s="395"/>
      <c r="J289" s="395"/>
      <c r="K289" s="395"/>
      <c r="L289" s="395"/>
    </row>
    <row r="290" spans="1:12" ht="14.25">
      <c r="A290" s="395"/>
      <c r="B290" s="395"/>
      <c r="C290" s="395"/>
      <c r="D290" s="395"/>
      <c r="E290" s="395"/>
      <c r="F290" s="395"/>
      <c r="G290" s="395"/>
      <c r="H290" s="395"/>
      <c r="I290" s="395"/>
      <c r="J290" s="395"/>
      <c r="K290" s="395"/>
      <c r="L290" s="395"/>
    </row>
    <row r="291" spans="1:12" ht="14.25">
      <c r="A291" s="395"/>
      <c r="B291" s="395"/>
      <c r="C291" s="395"/>
      <c r="D291" s="395"/>
      <c r="E291" s="395"/>
      <c r="F291" s="395"/>
      <c r="G291" s="395"/>
      <c r="H291" s="395"/>
      <c r="I291" s="395"/>
      <c r="J291" s="395"/>
      <c r="K291" s="395"/>
      <c r="L291" s="395"/>
    </row>
    <row r="292" spans="1:12" ht="14.25">
      <c r="A292" s="395"/>
      <c r="B292" s="395"/>
      <c r="C292" s="395"/>
      <c r="D292" s="395"/>
      <c r="E292" s="395"/>
      <c r="F292" s="395"/>
      <c r="G292" s="395"/>
      <c r="H292" s="395"/>
      <c r="I292" s="395"/>
      <c r="J292" s="395"/>
      <c r="K292" s="395"/>
      <c r="L292" s="395"/>
    </row>
    <row r="293" spans="1:12" ht="14.25">
      <c r="A293" s="395"/>
      <c r="B293" s="395"/>
      <c r="C293" s="395"/>
      <c r="D293" s="395"/>
      <c r="E293" s="395"/>
      <c r="F293" s="395"/>
      <c r="G293" s="395"/>
      <c r="H293" s="395"/>
      <c r="I293" s="395"/>
      <c r="J293" s="395"/>
      <c r="K293" s="395"/>
      <c r="L293" s="395"/>
    </row>
    <row r="294" spans="1:12" ht="14.25">
      <c r="A294" s="395"/>
      <c r="B294" s="395"/>
      <c r="C294" s="395"/>
      <c r="D294" s="395"/>
      <c r="E294" s="395"/>
      <c r="F294" s="395"/>
      <c r="G294" s="395"/>
      <c r="H294" s="395"/>
      <c r="I294" s="395"/>
      <c r="J294" s="395"/>
      <c r="K294" s="395"/>
      <c r="L294" s="395"/>
    </row>
    <row r="295" spans="1:12" ht="14.25">
      <c r="A295" s="395"/>
      <c r="B295" s="395"/>
      <c r="C295" s="395"/>
      <c r="D295" s="395"/>
      <c r="E295" s="395"/>
      <c r="F295" s="395"/>
      <c r="G295" s="395"/>
      <c r="H295" s="395"/>
      <c r="I295" s="395"/>
      <c r="J295" s="395"/>
      <c r="K295" s="395"/>
      <c r="L295" s="395"/>
    </row>
    <row r="296" spans="1:12" ht="14.25">
      <c r="A296" s="395"/>
      <c r="B296" s="395"/>
      <c r="C296" s="395"/>
      <c r="D296" s="395"/>
      <c r="E296" s="395"/>
      <c r="F296" s="395"/>
      <c r="G296" s="395"/>
      <c r="H296" s="395"/>
      <c r="I296" s="395"/>
      <c r="J296" s="395"/>
      <c r="K296" s="395"/>
      <c r="L296" s="395"/>
    </row>
    <row r="297" spans="1:12" ht="14.25">
      <c r="A297" s="395"/>
      <c r="B297" s="395"/>
      <c r="C297" s="395"/>
      <c r="D297" s="395"/>
      <c r="E297" s="395"/>
      <c r="F297" s="395"/>
      <c r="G297" s="395"/>
      <c r="H297" s="395"/>
      <c r="I297" s="395"/>
      <c r="J297" s="395"/>
      <c r="K297" s="395"/>
      <c r="L297" s="395"/>
    </row>
    <row r="298" spans="1:12" ht="14.25">
      <c r="A298" s="395"/>
      <c r="B298" s="395"/>
      <c r="C298" s="395"/>
      <c r="D298" s="395"/>
      <c r="E298" s="395"/>
      <c r="F298" s="395"/>
      <c r="G298" s="395"/>
      <c r="H298" s="395"/>
      <c r="I298" s="395"/>
      <c r="J298" s="395"/>
      <c r="K298" s="395"/>
      <c r="L298" s="395"/>
    </row>
    <row r="299" spans="1:12" ht="14.25">
      <c r="A299" s="395"/>
      <c r="B299" s="395"/>
      <c r="C299" s="395"/>
      <c r="D299" s="395"/>
      <c r="E299" s="395"/>
      <c r="F299" s="395"/>
      <c r="G299" s="395"/>
      <c r="H299" s="395"/>
      <c r="I299" s="395"/>
      <c r="J299" s="395"/>
      <c r="K299" s="395"/>
      <c r="L299" s="395"/>
    </row>
    <row r="300" spans="1:12" ht="14.25">
      <c r="A300" s="395"/>
      <c r="B300" s="395"/>
      <c r="C300" s="395"/>
      <c r="D300" s="395"/>
      <c r="E300" s="395"/>
      <c r="F300" s="395"/>
      <c r="G300" s="395"/>
      <c r="H300" s="395"/>
      <c r="I300" s="395"/>
      <c r="J300" s="395"/>
      <c r="K300" s="395"/>
      <c r="L300" s="395"/>
    </row>
    <row r="301" spans="1:12" ht="14.25">
      <c r="A301" s="395"/>
      <c r="B301" s="395"/>
      <c r="C301" s="395"/>
      <c r="D301" s="395"/>
      <c r="E301" s="395"/>
      <c r="F301" s="395"/>
      <c r="G301" s="395"/>
      <c r="H301" s="395"/>
      <c r="I301" s="395"/>
      <c r="J301" s="395"/>
      <c r="K301" s="395"/>
      <c r="L301" s="395"/>
    </row>
    <row r="302" spans="1:12" ht="14.25">
      <c r="A302" s="395"/>
      <c r="B302" s="395"/>
      <c r="C302" s="395"/>
      <c r="D302" s="395"/>
      <c r="E302" s="395"/>
      <c r="F302" s="395"/>
      <c r="G302" s="395"/>
      <c r="H302" s="395"/>
      <c r="I302" s="395"/>
      <c r="J302" s="395"/>
      <c r="K302" s="395"/>
      <c r="L302" s="395"/>
    </row>
    <row r="303" spans="1:12" ht="14.25">
      <c r="A303" s="395"/>
      <c r="B303" s="395"/>
      <c r="C303" s="395"/>
      <c r="D303" s="395"/>
      <c r="E303" s="395"/>
      <c r="F303" s="395"/>
      <c r="G303" s="395"/>
      <c r="H303" s="395"/>
      <c r="I303" s="395"/>
      <c r="J303" s="395"/>
      <c r="K303" s="395"/>
      <c r="L303" s="395"/>
    </row>
    <row r="304" spans="1:12" ht="14.25">
      <c r="A304" s="395"/>
      <c r="B304" s="395"/>
      <c r="C304" s="395"/>
      <c r="D304" s="395"/>
      <c r="E304" s="395"/>
      <c r="F304" s="395"/>
      <c r="G304" s="395"/>
      <c r="H304" s="395"/>
      <c r="I304" s="395"/>
      <c r="J304" s="395"/>
      <c r="K304" s="395"/>
      <c r="L304" s="395"/>
    </row>
    <row r="305" spans="1:12" ht="14.25">
      <c r="A305" s="395"/>
      <c r="B305" s="395"/>
      <c r="C305" s="395"/>
      <c r="D305" s="395"/>
      <c r="E305" s="395"/>
      <c r="F305" s="395"/>
      <c r="G305" s="395"/>
      <c r="H305" s="395"/>
      <c r="I305" s="395"/>
      <c r="J305" s="395"/>
      <c r="K305" s="395"/>
      <c r="L305" s="395"/>
    </row>
    <row r="306" spans="1:12" ht="14.25">
      <c r="A306" s="395"/>
      <c r="B306" s="395"/>
      <c r="C306" s="395"/>
      <c r="D306" s="395"/>
      <c r="E306" s="395"/>
      <c r="F306" s="395"/>
      <c r="G306" s="395"/>
      <c r="H306" s="395"/>
      <c r="I306" s="395"/>
      <c r="J306" s="395"/>
      <c r="K306" s="395"/>
      <c r="L306" s="395"/>
    </row>
    <row r="307" spans="1:12" ht="14.25">
      <c r="A307" s="395"/>
      <c r="B307" s="395"/>
      <c r="C307" s="395"/>
      <c r="D307" s="395"/>
      <c r="E307" s="395"/>
      <c r="F307" s="395"/>
      <c r="G307" s="395"/>
      <c r="H307" s="395"/>
      <c r="I307" s="395"/>
      <c r="J307" s="395"/>
      <c r="K307" s="395"/>
      <c r="L307" s="395"/>
    </row>
    <row r="308" spans="1:12" ht="14.25">
      <c r="A308" s="395"/>
      <c r="B308" s="395"/>
      <c r="C308" s="395"/>
      <c r="D308" s="395"/>
      <c r="E308" s="395"/>
      <c r="F308" s="395"/>
      <c r="G308" s="395"/>
      <c r="H308" s="395"/>
      <c r="I308" s="395"/>
      <c r="J308" s="395"/>
      <c r="K308" s="395"/>
      <c r="L308" s="395"/>
    </row>
    <row r="309" spans="1:12" ht="14.25">
      <c r="A309" s="395"/>
      <c r="B309" s="395"/>
      <c r="C309" s="395"/>
      <c r="D309" s="395"/>
      <c r="E309" s="395"/>
      <c r="F309" s="395"/>
      <c r="G309" s="395"/>
      <c r="H309" s="395"/>
      <c r="I309" s="395"/>
      <c r="J309" s="395"/>
      <c r="K309" s="395"/>
      <c r="L309" s="395"/>
    </row>
    <row r="310" spans="1:12" ht="14.25">
      <c r="A310" s="395"/>
      <c r="B310" s="395"/>
      <c r="C310" s="395"/>
      <c r="D310" s="395"/>
      <c r="E310" s="395"/>
      <c r="F310" s="395"/>
      <c r="G310" s="395"/>
      <c r="H310" s="395"/>
      <c r="I310" s="395"/>
      <c r="J310" s="395"/>
      <c r="K310" s="395"/>
      <c r="L310" s="395"/>
    </row>
    <row r="311" spans="1:12" ht="14.25">
      <c r="A311" s="395"/>
      <c r="B311" s="395"/>
      <c r="C311" s="395"/>
      <c r="D311" s="395"/>
      <c r="E311" s="395"/>
      <c r="F311" s="395"/>
      <c r="G311" s="395"/>
      <c r="H311" s="395"/>
      <c r="I311" s="395"/>
      <c r="J311" s="395"/>
      <c r="K311" s="395"/>
      <c r="L311" s="395"/>
    </row>
    <row r="312" spans="1:12" ht="14.25">
      <c r="A312" s="395"/>
      <c r="B312" s="395"/>
      <c r="C312" s="395"/>
      <c r="D312" s="395"/>
      <c r="E312" s="395"/>
      <c r="F312" s="395"/>
      <c r="G312" s="395"/>
      <c r="H312" s="395"/>
      <c r="I312" s="395"/>
      <c r="J312" s="395"/>
      <c r="K312" s="395"/>
      <c r="L312" s="395"/>
    </row>
    <row r="313" spans="1:12" ht="14.25">
      <c r="A313" s="395"/>
      <c r="B313" s="395"/>
      <c r="C313" s="395"/>
      <c r="D313" s="395"/>
      <c r="E313" s="395"/>
      <c r="F313" s="395"/>
      <c r="G313" s="395"/>
      <c r="H313" s="395"/>
      <c r="I313" s="395"/>
      <c r="J313" s="395"/>
      <c r="K313" s="395"/>
      <c r="L313" s="395"/>
    </row>
    <row r="314" spans="1:12" ht="14.25">
      <c r="A314" s="395"/>
      <c r="B314" s="395"/>
      <c r="C314" s="395"/>
      <c r="D314" s="395"/>
      <c r="E314" s="395"/>
      <c r="F314" s="395"/>
      <c r="G314" s="395"/>
      <c r="H314" s="395"/>
      <c r="I314" s="395"/>
      <c r="J314" s="395"/>
      <c r="K314" s="395"/>
      <c r="L314" s="395"/>
    </row>
    <row r="315" spans="1:12" ht="14.25">
      <c r="A315" s="395"/>
      <c r="B315" s="395"/>
      <c r="C315" s="395"/>
      <c r="D315" s="395"/>
      <c r="E315" s="395"/>
      <c r="F315" s="395"/>
      <c r="G315" s="395"/>
      <c r="H315" s="395"/>
      <c r="I315" s="395"/>
      <c r="J315" s="395"/>
      <c r="K315" s="395"/>
      <c r="L315" s="395"/>
    </row>
    <row r="316" spans="1:12" ht="14.25">
      <c r="A316" s="395"/>
      <c r="B316" s="395"/>
      <c r="C316" s="395"/>
      <c r="D316" s="395"/>
      <c r="E316" s="395"/>
      <c r="F316" s="395"/>
      <c r="G316" s="395"/>
      <c r="H316" s="395"/>
      <c r="I316" s="395"/>
      <c r="J316" s="395"/>
      <c r="K316" s="395"/>
      <c r="L316" s="395"/>
    </row>
    <row r="317" spans="1:12" ht="14.25">
      <c r="A317" s="395"/>
      <c r="B317" s="395"/>
      <c r="C317" s="395"/>
      <c r="D317" s="395"/>
      <c r="E317" s="395"/>
      <c r="F317" s="395"/>
      <c r="G317" s="395"/>
      <c r="H317" s="395"/>
      <c r="I317" s="395"/>
      <c r="J317" s="395"/>
      <c r="K317" s="395"/>
      <c r="L317" s="395"/>
    </row>
    <row r="318" spans="1:12" ht="14.25">
      <c r="A318" s="395"/>
      <c r="B318" s="395"/>
      <c r="C318" s="395"/>
      <c r="D318" s="395"/>
      <c r="E318" s="395"/>
      <c r="F318" s="395"/>
      <c r="G318" s="395"/>
      <c r="H318" s="395"/>
      <c r="I318" s="395"/>
      <c r="J318" s="395"/>
      <c r="K318" s="395"/>
      <c r="L318" s="395"/>
    </row>
    <row r="319" spans="1:12" ht="14.25">
      <c r="A319" s="395"/>
      <c r="B319" s="395"/>
      <c r="C319" s="395"/>
      <c r="D319" s="395"/>
      <c r="E319" s="395"/>
      <c r="F319" s="395"/>
      <c r="G319" s="395"/>
      <c r="H319" s="395"/>
      <c r="I319" s="395"/>
      <c r="J319" s="395"/>
      <c r="K319" s="395"/>
      <c r="L319" s="395"/>
    </row>
    <row r="320" spans="1:12" ht="14.25">
      <c r="A320" s="395"/>
      <c r="B320" s="395"/>
      <c r="C320" s="395"/>
      <c r="D320" s="395"/>
      <c r="E320" s="395"/>
      <c r="F320" s="395"/>
      <c r="G320" s="395"/>
      <c r="H320" s="395"/>
      <c r="I320" s="395"/>
      <c r="J320" s="395"/>
      <c r="K320" s="395"/>
      <c r="L320" s="395"/>
    </row>
    <row r="321" spans="1:12" ht="14.25">
      <c r="A321" s="395"/>
      <c r="B321" s="395"/>
      <c r="C321" s="395"/>
      <c r="D321" s="395"/>
      <c r="E321" s="395"/>
      <c r="F321" s="395"/>
      <c r="G321" s="395"/>
      <c r="H321" s="395"/>
      <c r="I321" s="395"/>
      <c r="J321" s="395"/>
      <c r="K321" s="395"/>
      <c r="L321" s="395"/>
    </row>
    <row r="322" spans="1:12" ht="14.25">
      <c r="A322" s="395"/>
      <c r="B322" s="395"/>
      <c r="C322" s="395"/>
      <c r="D322" s="395"/>
      <c r="E322" s="395"/>
      <c r="F322" s="395"/>
      <c r="G322" s="395"/>
      <c r="H322" s="395"/>
      <c r="I322" s="395"/>
      <c r="J322" s="395"/>
      <c r="K322" s="395"/>
      <c r="L322" s="395"/>
    </row>
    <row r="323" spans="1:12" ht="14.25">
      <c r="A323" s="395"/>
      <c r="B323" s="395"/>
      <c r="C323" s="395"/>
      <c r="D323" s="395"/>
      <c r="E323" s="395"/>
      <c r="F323" s="395"/>
      <c r="G323" s="395"/>
      <c r="H323" s="395"/>
      <c r="I323" s="395"/>
      <c r="J323" s="395"/>
      <c r="K323" s="395"/>
      <c r="L323" s="395"/>
    </row>
    <row r="324" spans="1:12" ht="14.25">
      <c r="A324" s="395"/>
      <c r="B324" s="395"/>
      <c r="C324" s="395"/>
      <c r="D324" s="395"/>
      <c r="E324" s="395"/>
      <c r="F324" s="395"/>
      <c r="G324" s="395"/>
      <c r="H324" s="395"/>
      <c r="I324" s="395"/>
      <c r="J324" s="395"/>
      <c r="K324" s="395"/>
      <c r="L324" s="395"/>
    </row>
    <row r="325" spans="1:12" ht="14.25">
      <c r="A325" s="395"/>
      <c r="B325" s="395"/>
      <c r="C325" s="395"/>
      <c r="D325" s="395"/>
      <c r="E325" s="395"/>
      <c r="F325" s="395"/>
      <c r="G325" s="395"/>
      <c r="H325" s="395"/>
      <c r="I325" s="395"/>
      <c r="J325" s="395"/>
      <c r="K325" s="395"/>
      <c r="L325" s="395"/>
    </row>
    <row r="326" spans="1:12" ht="14.25">
      <c r="A326" s="395"/>
      <c r="B326" s="395"/>
      <c r="C326" s="395"/>
      <c r="D326" s="395"/>
      <c r="E326" s="395"/>
      <c r="F326" s="395"/>
      <c r="G326" s="395"/>
      <c r="H326" s="395"/>
      <c r="I326" s="395"/>
      <c r="J326" s="395"/>
      <c r="K326" s="395"/>
      <c r="L326" s="395"/>
    </row>
    <row r="327" spans="1:12" ht="14.25">
      <c r="A327" s="395"/>
      <c r="B327" s="395"/>
      <c r="C327" s="395"/>
      <c r="D327" s="395"/>
      <c r="E327" s="395"/>
      <c r="F327" s="395"/>
      <c r="G327" s="395"/>
      <c r="H327" s="395"/>
      <c r="I327" s="395"/>
      <c r="J327" s="395"/>
      <c r="K327" s="395"/>
      <c r="L327" s="395"/>
    </row>
    <row r="328" spans="1:12" ht="14.25">
      <c r="A328" s="395"/>
      <c r="B328" s="395"/>
      <c r="C328" s="395"/>
      <c r="D328" s="395"/>
      <c r="E328" s="395"/>
      <c r="F328" s="395"/>
      <c r="G328" s="395"/>
      <c r="H328" s="395"/>
      <c r="I328" s="395"/>
      <c r="J328" s="395"/>
      <c r="K328" s="395"/>
      <c r="L328" s="395"/>
    </row>
    <row r="329" spans="1:12" ht="14.25">
      <c r="A329" s="395"/>
      <c r="B329" s="395"/>
      <c r="C329" s="395"/>
      <c r="D329" s="395"/>
      <c r="E329" s="395"/>
      <c r="F329" s="395"/>
      <c r="G329" s="395"/>
      <c r="H329" s="395"/>
      <c r="I329" s="395"/>
      <c r="J329" s="395"/>
      <c r="K329" s="395"/>
      <c r="L329" s="395"/>
    </row>
    <row r="330" spans="1:12" ht="14.25">
      <c r="A330" s="395"/>
      <c r="B330" s="395"/>
      <c r="C330" s="395"/>
      <c r="D330" s="395"/>
      <c r="E330" s="395"/>
      <c r="F330" s="395"/>
      <c r="G330" s="395"/>
      <c r="H330" s="395"/>
      <c r="I330" s="395"/>
      <c r="J330" s="395"/>
      <c r="K330" s="395"/>
      <c r="L330" s="395"/>
    </row>
    <row r="331" spans="1:12" ht="14.25">
      <c r="A331" s="395"/>
      <c r="B331" s="395"/>
      <c r="C331" s="395"/>
      <c r="D331" s="395"/>
      <c r="E331" s="395"/>
      <c r="F331" s="395"/>
      <c r="G331" s="395"/>
      <c r="H331" s="395"/>
      <c r="I331" s="395"/>
      <c r="J331" s="395"/>
      <c r="K331" s="395"/>
      <c r="L331" s="395"/>
    </row>
    <row r="332" spans="1:12" ht="14.25">
      <c r="A332" s="395"/>
      <c r="B332" s="395"/>
      <c r="C332" s="395"/>
      <c r="D332" s="395"/>
      <c r="E332" s="395"/>
      <c r="F332" s="395"/>
      <c r="G332" s="395"/>
      <c r="H332" s="395"/>
      <c r="I332" s="395"/>
      <c r="J332" s="395"/>
      <c r="K332" s="395"/>
      <c r="L332" s="395"/>
    </row>
    <row r="333" spans="1:12" ht="14.25">
      <c r="A333" s="395"/>
      <c r="B333" s="395"/>
      <c r="C333" s="395"/>
      <c r="D333" s="395"/>
      <c r="E333" s="395"/>
      <c r="F333" s="395"/>
      <c r="G333" s="395"/>
      <c r="H333" s="395"/>
      <c r="I333" s="395"/>
      <c r="J333" s="395"/>
      <c r="K333" s="395"/>
      <c r="L333" s="395"/>
    </row>
    <row r="334" spans="1:12" ht="14.25">
      <c r="A334" s="395"/>
      <c r="B334" s="395"/>
      <c r="C334" s="395"/>
      <c r="D334" s="395"/>
      <c r="E334" s="395"/>
      <c r="F334" s="395"/>
      <c r="G334" s="395"/>
      <c r="H334" s="395"/>
      <c r="I334" s="395"/>
      <c r="J334" s="395"/>
      <c r="K334" s="395"/>
      <c r="L334" s="395"/>
    </row>
    <row r="335" spans="1:12" ht="14.25">
      <c r="A335" s="395"/>
      <c r="B335" s="395"/>
      <c r="C335" s="395"/>
      <c r="D335" s="395"/>
      <c r="E335" s="395"/>
      <c r="F335" s="395"/>
      <c r="G335" s="395"/>
      <c r="H335" s="395"/>
      <c r="I335" s="395"/>
      <c r="J335" s="395"/>
      <c r="K335" s="395"/>
      <c r="L335" s="395"/>
    </row>
    <row r="336" spans="1:12" ht="14.25">
      <c r="A336" s="395"/>
      <c r="B336" s="395"/>
      <c r="C336" s="395"/>
      <c r="D336" s="395"/>
      <c r="E336" s="395"/>
      <c r="F336" s="395"/>
      <c r="G336" s="395"/>
      <c r="H336" s="395"/>
      <c r="I336" s="395"/>
      <c r="J336" s="395"/>
      <c r="K336" s="395"/>
      <c r="L336" s="395"/>
    </row>
    <row r="337" spans="1:12" ht="14.25">
      <c r="A337" s="395"/>
      <c r="B337" s="395"/>
      <c r="C337" s="395"/>
      <c r="D337" s="395"/>
      <c r="E337" s="395"/>
      <c r="F337" s="395"/>
      <c r="G337" s="395"/>
      <c r="H337" s="395"/>
      <c r="I337" s="395"/>
      <c r="J337" s="395"/>
      <c r="K337" s="395"/>
      <c r="L337" s="395"/>
    </row>
    <row r="338" spans="1:12" ht="14.25">
      <c r="A338" s="395"/>
      <c r="B338" s="395"/>
      <c r="C338" s="395"/>
      <c r="D338" s="395"/>
      <c r="E338" s="395"/>
      <c r="F338" s="395"/>
      <c r="G338" s="395"/>
      <c r="H338" s="395"/>
      <c r="I338" s="395"/>
      <c r="J338" s="395"/>
      <c r="K338" s="395"/>
      <c r="L338" s="395"/>
    </row>
    <row r="339" spans="1:12" ht="14.25">
      <c r="A339" s="395"/>
      <c r="B339" s="395"/>
      <c r="C339" s="395"/>
      <c r="D339" s="395"/>
      <c r="E339" s="395"/>
      <c r="F339" s="395"/>
      <c r="G339" s="395"/>
      <c r="H339" s="395"/>
      <c r="I339" s="395"/>
      <c r="J339" s="395"/>
      <c r="K339" s="395"/>
      <c r="L339" s="395"/>
    </row>
    <row r="340" spans="1:12" ht="14.25">
      <c r="A340" s="395"/>
      <c r="B340" s="395"/>
      <c r="C340" s="395"/>
      <c r="D340" s="395"/>
      <c r="E340" s="395"/>
      <c r="F340" s="395"/>
      <c r="G340" s="395"/>
      <c r="H340" s="395"/>
      <c r="I340" s="395"/>
      <c r="J340" s="395"/>
      <c r="K340" s="395"/>
      <c r="L340" s="395"/>
    </row>
    <row r="341" spans="1:12" ht="14.25">
      <c r="A341" s="395"/>
      <c r="B341" s="395"/>
      <c r="C341" s="395"/>
      <c r="D341" s="395"/>
      <c r="E341" s="395"/>
      <c r="F341" s="395"/>
      <c r="G341" s="395"/>
      <c r="H341" s="395"/>
      <c r="I341" s="395"/>
      <c r="J341" s="395"/>
      <c r="K341" s="395"/>
      <c r="L341" s="395"/>
    </row>
    <row r="342" spans="1:12" ht="14.25">
      <c r="A342" s="395"/>
      <c r="B342" s="395"/>
      <c r="C342" s="395"/>
      <c r="D342" s="395"/>
      <c r="E342" s="395"/>
      <c r="F342" s="395"/>
      <c r="G342" s="395"/>
      <c r="H342" s="395"/>
      <c r="I342" s="395"/>
      <c r="J342" s="395"/>
      <c r="K342" s="395"/>
      <c r="L342" s="395"/>
    </row>
    <row r="343" spans="1:12" ht="14.25">
      <c r="A343" s="395"/>
      <c r="B343" s="395"/>
      <c r="C343" s="395"/>
      <c r="D343" s="395"/>
      <c r="E343" s="395"/>
      <c r="F343" s="395"/>
      <c r="G343" s="395"/>
      <c r="H343" s="395"/>
      <c r="I343" s="395"/>
      <c r="J343" s="395"/>
      <c r="K343" s="395"/>
      <c r="L343" s="395"/>
    </row>
    <row r="344" spans="1:12" ht="14.25">
      <c r="A344" s="395"/>
      <c r="B344" s="395"/>
      <c r="C344" s="395"/>
      <c r="D344" s="395"/>
      <c r="E344" s="395"/>
      <c r="F344" s="395"/>
      <c r="G344" s="395"/>
      <c r="H344" s="395"/>
      <c r="I344" s="395"/>
      <c r="J344" s="395"/>
      <c r="K344" s="395"/>
      <c r="L344" s="395"/>
    </row>
    <row r="345" spans="1:12" ht="14.25">
      <c r="A345" s="395"/>
      <c r="B345" s="395"/>
      <c r="C345" s="395"/>
      <c r="D345" s="395"/>
      <c r="E345" s="395"/>
      <c r="F345" s="395"/>
      <c r="G345" s="395"/>
      <c r="H345" s="395"/>
      <c r="I345" s="395"/>
      <c r="J345" s="395"/>
      <c r="K345" s="395"/>
      <c r="L345" s="395"/>
    </row>
    <row r="346" spans="1:12" ht="14.25">
      <c r="A346" s="395"/>
      <c r="B346" s="395"/>
      <c r="C346" s="395"/>
      <c r="D346" s="395"/>
      <c r="E346" s="395"/>
      <c r="F346" s="395"/>
      <c r="G346" s="395"/>
      <c r="H346" s="395"/>
      <c r="I346" s="395"/>
      <c r="J346" s="395"/>
      <c r="K346" s="395"/>
      <c r="L346" s="395"/>
    </row>
    <row r="347" spans="1:12" ht="14.25">
      <c r="A347" s="395"/>
      <c r="B347" s="395"/>
      <c r="C347" s="395"/>
      <c r="D347" s="395"/>
      <c r="E347" s="395"/>
      <c r="F347" s="395"/>
      <c r="G347" s="395"/>
      <c r="H347" s="395"/>
      <c r="I347" s="395"/>
      <c r="J347" s="395"/>
      <c r="K347" s="395"/>
      <c r="L347" s="395"/>
    </row>
    <row r="348" spans="1:12" ht="14.25">
      <c r="A348" s="395"/>
      <c r="B348" s="395"/>
      <c r="C348" s="395"/>
      <c r="D348" s="395"/>
      <c r="E348" s="395"/>
      <c r="F348" s="395"/>
      <c r="G348" s="395"/>
      <c r="H348" s="395"/>
      <c r="I348" s="395"/>
      <c r="J348" s="395"/>
      <c r="K348" s="395"/>
      <c r="L348" s="395"/>
    </row>
    <row r="349" spans="1:12" ht="14.25">
      <c r="A349" s="395"/>
      <c r="B349" s="395"/>
      <c r="C349" s="395"/>
      <c r="D349" s="395"/>
      <c r="E349" s="395"/>
      <c r="F349" s="395"/>
      <c r="G349" s="395"/>
      <c r="H349" s="395"/>
      <c r="I349" s="395"/>
      <c r="J349" s="395"/>
      <c r="K349" s="395"/>
      <c r="L349" s="395"/>
    </row>
    <row r="350" spans="1:12" ht="14.25">
      <c r="A350" s="395"/>
      <c r="B350" s="395"/>
      <c r="C350" s="395"/>
      <c r="D350" s="395"/>
      <c r="E350" s="395"/>
      <c r="F350" s="395"/>
      <c r="G350" s="395"/>
      <c r="H350" s="395"/>
      <c r="I350" s="395"/>
      <c r="J350" s="395"/>
      <c r="K350" s="395"/>
      <c r="L350" s="395"/>
    </row>
    <row r="351" spans="1:12" ht="14.25">
      <c r="A351" s="395"/>
      <c r="B351" s="395"/>
      <c r="C351" s="395"/>
      <c r="D351" s="395"/>
      <c r="E351" s="395"/>
      <c r="F351" s="395"/>
      <c r="G351" s="395"/>
      <c r="H351" s="395"/>
      <c r="I351" s="395"/>
      <c r="J351" s="395"/>
      <c r="K351" s="395"/>
      <c r="L351" s="395"/>
    </row>
    <row r="352" spans="1:12" ht="14.25">
      <c r="A352" s="395"/>
      <c r="B352" s="395"/>
      <c r="C352" s="395"/>
      <c r="D352" s="395"/>
      <c r="E352" s="395"/>
      <c r="F352" s="395"/>
      <c r="G352" s="395"/>
      <c r="H352" s="395"/>
      <c r="I352" s="395"/>
      <c r="J352" s="395"/>
      <c r="K352" s="395"/>
      <c r="L352" s="395"/>
    </row>
    <row r="353" spans="1:12" ht="14.25">
      <c r="A353" s="395"/>
      <c r="B353" s="395"/>
      <c r="C353" s="395"/>
      <c r="D353" s="395"/>
      <c r="E353" s="395"/>
      <c r="F353" s="395"/>
      <c r="G353" s="395"/>
      <c r="H353" s="395"/>
      <c r="I353" s="395"/>
      <c r="J353" s="395"/>
      <c r="K353" s="395"/>
      <c r="L353" s="395"/>
    </row>
    <row r="354" spans="1:12" ht="14.25">
      <c r="A354" s="395"/>
      <c r="B354" s="395"/>
      <c r="C354" s="395"/>
      <c r="D354" s="395"/>
      <c r="E354" s="395"/>
      <c r="F354" s="395"/>
      <c r="G354" s="395"/>
      <c r="H354" s="395"/>
      <c r="I354" s="395"/>
      <c r="J354" s="395"/>
      <c r="K354" s="395"/>
      <c r="L354" s="395"/>
    </row>
  </sheetData>
  <sheetProtection sheet="1" objects="1" scenarios="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J98"/>
  <sheetViews>
    <sheetView zoomScalePageLayoutView="0" workbookViewId="0" topLeftCell="A1">
      <selection activeCell="AC10" sqref="AC10"/>
    </sheetView>
  </sheetViews>
  <sheetFormatPr defaultColWidth="8.796875" defaultRowHeight="15"/>
  <cols>
    <col min="1" max="1" width="15.796875" style="54" customWidth="1"/>
    <col min="2" max="2" width="5.796875" style="54" customWidth="1"/>
    <col min="3" max="3" width="11.69921875" style="54" customWidth="1"/>
    <col min="4" max="6" width="10.796875" style="54" customWidth="1"/>
    <col min="7" max="7" width="11.296875" style="54" customWidth="1"/>
    <col min="8" max="8" width="10.796875" style="54" customWidth="1"/>
    <col min="9" max="16384" width="8.8984375" style="54" customWidth="1"/>
  </cols>
  <sheetData>
    <row r="1" spans="1:8" ht="15.75">
      <c r="A1" s="53">
        <f>inputPrYr!D3</f>
        <v>0</v>
      </c>
      <c r="B1" s="53"/>
      <c r="C1" s="53"/>
      <c r="D1" s="53"/>
      <c r="E1" s="53"/>
      <c r="F1" s="53"/>
      <c r="G1" s="53">
        <f>inputPrYr!D22</f>
        <v>0</v>
      </c>
      <c r="H1" s="73"/>
    </row>
    <row r="2" spans="1:8" ht="15">
      <c r="A2" s="55"/>
      <c r="B2" s="55"/>
      <c r="C2" s="55"/>
      <c r="D2" s="55"/>
      <c r="E2" s="55"/>
      <c r="F2" s="55"/>
      <c r="G2" s="55"/>
      <c r="H2" s="73"/>
    </row>
    <row r="3" spans="1:8" ht="15.75">
      <c r="A3" s="827" t="s">
        <v>745</v>
      </c>
      <c r="B3" s="828"/>
      <c r="C3" s="828"/>
      <c r="D3" s="828"/>
      <c r="E3" s="828"/>
      <c r="F3" s="840"/>
      <c r="G3" s="840"/>
      <c r="H3" s="73"/>
    </row>
    <row r="4" spans="1:8" ht="15.75">
      <c r="A4" s="55"/>
      <c r="B4" s="56"/>
      <c r="C4" s="56"/>
      <c r="D4" s="56"/>
      <c r="E4" s="56"/>
      <c r="F4" s="55"/>
      <c r="G4" s="27"/>
      <c r="H4" s="73"/>
    </row>
    <row r="5" spans="1:8" ht="9" customHeight="1">
      <c r="A5" s="27"/>
      <c r="B5" s="27"/>
      <c r="C5" s="27"/>
      <c r="D5" s="27"/>
      <c r="E5" s="27"/>
      <c r="F5" s="55"/>
      <c r="G5" s="55"/>
      <c r="H5" s="73"/>
    </row>
    <row r="6" spans="1:8" ht="16.5" customHeight="1">
      <c r="A6" s="847" t="str">
        <f>CONCATENATE("From the County Clerk's ",G1," Budget Information:")</f>
        <v>From the County Clerk's 0 Budget Information:</v>
      </c>
      <c r="B6" s="848"/>
      <c r="C6" s="848"/>
      <c r="D6" s="848"/>
      <c r="E6" s="848"/>
      <c r="F6" s="848"/>
      <c r="G6" s="848"/>
      <c r="H6" s="849"/>
    </row>
    <row r="7" spans="1:8" ht="15.75">
      <c r="A7" s="57"/>
      <c r="B7" s="58"/>
      <c r="C7" s="841" t="str">
        <f>CONCATENATE("Assessed Valuation for ",G1-1,":")</f>
        <v>Assessed Valuation for -1:</v>
      </c>
      <c r="D7" s="841" t="str">
        <f>CONCATENATE("New Improvements for ",G1-1,":")</f>
        <v>New Improvements for -1:</v>
      </c>
      <c r="E7" s="844" t="str">
        <f>CONCATENATE("Personal Property      ",G1-1,":")</f>
        <v>Personal Property      -1:</v>
      </c>
      <c r="F7" s="841" t="str">
        <f>CONCATENATE("Property that has changed in use for ",G1-1,":")</f>
        <v>Property that has changed in use for -1:</v>
      </c>
      <c r="G7" s="844" t="str">
        <f>CONCATENATE("Personal Property      ",G1-2,":")</f>
        <v>Personal Property      -2:</v>
      </c>
      <c r="H7" s="853" t="str">
        <f>CONCATENATE("November 1 Abstract for ",G1-2,":")</f>
        <v>November 1 Abstract for -2:</v>
      </c>
    </row>
    <row r="8" spans="1:8" ht="15.75">
      <c r="A8" s="59"/>
      <c r="B8" s="60"/>
      <c r="C8" s="842"/>
      <c r="D8" s="842"/>
      <c r="E8" s="845"/>
      <c r="F8" s="842"/>
      <c r="G8" s="845"/>
      <c r="H8" s="854"/>
    </row>
    <row r="9" spans="1:8" ht="16.5" customHeight="1">
      <c r="A9" s="61" t="s">
        <v>153</v>
      </c>
      <c r="B9" s="49"/>
      <c r="C9" s="843"/>
      <c r="D9" s="843"/>
      <c r="E9" s="846"/>
      <c r="F9" s="843"/>
      <c r="G9" s="846"/>
      <c r="H9" s="855"/>
    </row>
    <row r="10" spans="1:8" ht="15.75">
      <c r="A10" s="62">
        <f>inputPrYr!$D$4</f>
        <v>0</v>
      </c>
      <c r="B10" s="41"/>
      <c r="C10" s="63"/>
      <c r="D10" s="64"/>
      <c r="E10" s="63"/>
      <c r="F10" s="63"/>
      <c r="G10" s="63"/>
      <c r="H10" s="50"/>
    </row>
    <row r="11" spans="1:8" ht="15.75">
      <c r="A11" s="65">
        <f>inputPrYr!$D$6</f>
        <v>0</v>
      </c>
      <c r="B11" s="51"/>
      <c r="C11" s="63"/>
      <c r="D11" s="64"/>
      <c r="E11" s="63"/>
      <c r="F11" s="63"/>
      <c r="G11" s="63"/>
      <c r="H11" s="50"/>
    </row>
    <row r="12" spans="1:8" ht="15.75">
      <c r="A12" s="65">
        <f>inputPrYr!$D$7</f>
        <v>0</v>
      </c>
      <c r="B12" s="51"/>
      <c r="C12" s="63"/>
      <c r="D12" s="64"/>
      <c r="E12" s="63"/>
      <c r="F12" s="63"/>
      <c r="G12" s="63"/>
      <c r="H12" s="50"/>
    </row>
    <row r="13" spans="1:8" ht="15.75">
      <c r="A13" s="65">
        <f>inputPrYr!$D$8</f>
        <v>0</v>
      </c>
      <c r="B13" s="51"/>
      <c r="C13" s="63"/>
      <c r="D13" s="64"/>
      <c r="E13" s="63"/>
      <c r="F13" s="63"/>
      <c r="G13" s="63"/>
      <c r="H13" s="50"/>
    </row>
    <row r="14" spans="1:8" ht="15.75">
      <c r="A14" s="65">
        <f>inputPrYr!D9</f>
        <v>0</v>
      </c>
      <c r="B14" s="51"/>
      <c r="C14" s="63"/>
      <c r="D14" s="64"/>
      <c r="E14" s="63"/>
      <c r="F14" s="63"/>
      <c r="G14" s="63"/>
      <c r="H14" s="50"/>
    </row>
    <row r="15" spans="1:8" ht="15.75">
      <c r="A15" s="65">
        <f>inputPrYr!D10</f>
        <v>0</v>
      </c>
      <c r="B15" s="51"/>
      <c r="C15" s="32"/>
      <c r="D15" s="66"/>
      <c r="E15" s="32"/>
      <c r="F15" s="32"/>
      <c r="G15" s="32"/>
      <c r="H15" s="50"/>
    </row>
    <row r="16" spans="1:8" ht="15.75">
      <c r="A16" s="65">
        <f>inputPrYr!D11</f>
        <v>0</v>
      </c>
      <c r="B16" s="51"/>
      <c r="C16" s="32"/>
      <c r="D16" s="66"/>
      <c r="E16" s="32"/>
      <c r="F16" s="32"/>
      <c r="G16" s="32"/>
      <c r="H16" s="50"/>
    </row>
    <row r="17" spans="1:8" ht="15.75">
      <c r="A17" s="65">
        <f>inputPrYr!D12</f>
        <v>0</v>
      </c>
      <c r="B17" s="51"/>
      <c r="C17" s="32"/>
      <c r="D17" s="66"/>
      <c r="E17" s="32"/>
      <c r="F17" s="32"/>
      <c r="G17" s="32"/>
      <c r="H17" s="50"/>
    </row>
    <row r="18" spans="1:8" ht="15.75">
      <c r="A18" s="65">
        <f>inputPrYr!D13</f>
        <v>0</v>
      </c>
      <c r="B18" s="51"/>
      <c r="C18" s="32"/>
      <c r="D18" s="66"/>
      <c r="E18" s="32"/>
      <c r="F18" s="32"/>
      <c r="G18" s="32"/>
      <c r="H18" s="50"/>
    </row>
    <row r="19" spans="1:8" ht="15.75">
      <c r="A19" s="65">
        <f>inputPrYr!D14</f>
        <v>0</v>
      </c>
      <c r="B19" s="51"/>
      <c r="C19" s="32"/>
      <c r="D19" s="66"/>
      <c r="E19" s="32"/>
      <c r="F19" s="32"/>
      <c r="G19" s="32"/>
      <c r="H19" s="50"/>
    </row>
    <row r="20" spans="1:8" ht="15.75">
      <c r="A20" s="65">
        <f>inputPrYr!D15</f>
        <v>0</v>
      </c>
      <c r="B20" s="51"/>
      <c r="C20" s="32"/>
      <c r="D20" s="66"/>
      <c r="E20" s="32"/>
      <c r="F20" s="32"/>
      <c r="G20" s="32"/>
      <c r="H20" s="50"/>
    </row>
    <row r="21" spans="1:8" ht="15.75">
      <c r="A21" s="65">
        <f>inputPrYr!D16</f>
        <v>0</v>
      </c>
      <c r="B21" s="51"/>
      <c r="C21" s="32"/>
      <c r="D21" s="66"/>
      <c r="E21" s="32"/>
      <c r="F21" s="32"/>
      <c r="G21" s="32"/>
      <c r="H21" s="50"/>
    </row>
    <row r="22" spans="1:8" ht="15.75">
      <c r="A22" s="65">
        <f>inputPrYr!D17</f>
        <v>0</v>
      </c>
      <c r="B22" s="51"/>
      <c r="C22" s="32"/>
      <c r="D22" s="66"/>
      <c r="E22" s="32"/>
      <c r="F22" s="32"/>
      <c r="G22" s="32"/>
      <c r="H22" s="50"/>
    </row>
    <row r="23" spans="1:8" ht="15.75">
      <c r="A23" s="65">
        <f>inputPrYr!D18</f>
        <v>0</v>
      </c>
      <c r="B23" s="51"/>
      <c r="C23" s="32"/>
      <c r="D23" s="66"/>
      <c r="E23" s="32"/>
      <c r="F23" s="32"/>
      <c r="G23" s="32"/>
      <c r="H23" s="50"/>
    </row>
    <row r="24" spans="1:8" ht="15.75">
      <c r="A24" s="65">
        <f>inputPrYr!D19</f>
        <v>0</v>
      </c>
      <c r="B24" s="51"/>
      <c r="C24" s="67"/>
      <c r="D24" s="68"/>
      <c r="E24" s="67"/>
      <c r="F24" s="67"/>
      <c r="G24" s="67"/>
      <c r="H24" s="69"/>
    </row>
    <row r="25" spans="1:8" ht="15.75">
      <c r="A25" s="65">
        <f>inputPrYr!D20</f>
        <v>0</v>
      </c>
      <c r="B25" s="51"/>
      <c r="C25" s="67"/>
      <c r="D25" s="68"/>
      <c r="E25" s="67"/>
      <c r="F25" s="67"/>
      <c r="G25" s="67"/>
      <c r="H25" s="69"/>
    </row>
    <row r="26" spans="1:8" ht="16.5" thickBot="1">
      <c r="A26" s="65" t="s">
        <v>112</v>
      </c>
      <c r="B26" s="51"/>
      <c r="C26" s="42">
        <f aca="true" t="shared" si="0" ref="C26:H26">SUM(C10:C25)</f>
        <v>0</v>
      </c>
      <c r="D26" s="42">
        <f t="shared" si="0"/>
        <v>0</v>
      </c>
      <c r="E26" s="42">
        <f t="shared" si="0"/>
        <v>0</v>
      </c>
      <c r="F26" s="42">
        <f t="shared" si="0"/>
        <v>0</v>
      </c>
      <c r="G26" s="42">
        <f t="shared" si="0"/>
        <v>0</v>
      </c>
      <c r="H26" s="70">
        <f t="shared" si="0"/>
        <v>0</v>
      </c>
    </row>
    <row r="27" spans="1:8" ht="16.5" thickTop="1">
      <c r="A27" s="71"/>
      <c r="B27" s="22"/>
      <c r="C27" s="22"/>
      <c r="D27" s="22"/>
      <c r="E27" s="72"/>
      <c r="F27" s="73"/>
      <c r="G27" s="73"/>
      <c r="H27" s="73"/>
    </row>
    <row r="28" spans="1:8" ht="15.75">
      <c r="A28" s="74" t="str">
        <f>CONCATENATE("Neighborhood Revitalization - ",G1,":")</f>
        <v>Neighborhood Revitalization - 0:</v>
      </c>
      <c r="B28" s="22"/>
      <c r="C28" s="22"/>
      <c r="D28" s="22"/>
      <c r="E28" s="50"/>
      <c r="F28" s="73"/>
      <c r="G28" s="73"/>
      <c r="H28" s="73"/>
    </row>
    <row r="29" spans="1:8" ht="15.75">
      <c r="A29" s="71"/>
      <c r="B29" s="22"/>
      <c r="C29" s="22"/>
      <c r="D29" s="22"/>
      <c r="E29" s="72"/>
      <c r="F29" s="73"/>
      <c r="G29" s="73"/>
      <c r="H29" s="73"/>
    </row>
    <row r="30" spans="1:8" ht="15.75">
      <c r="A30" s="74" t="str">
        <f>CONCATENATE("Actual Tax Rates for the ",G1-1," Budget:")</f>
        <v>Actual Tax Rates for the -1 Budget:</v>
      </c>
      <c r="B30" s="22"/>
      <c r="C30" s="22"/>
      <c r="D30" s="22"/>
      <c r="E30" s="72"/>
      <c r="F30" s="73"/>
      <c r="G30" s="73"/>
      <c r="H30" s="73"/>
    </row>
    <row r="31" spans="1:8" ht="15.75">
      <c r="A31" s="866" t="s">
        <v>18</v>
      </c>
      <c r="B31" s="867"/>
      <c r="C31" s="73"/>
      <c r="D31" s="75" t="s">
        <v>54</v>
      </c>
      <c r="E31" s="72"/>
      <c r="F31" s="73"/>
      <c r="G31" s="73"/>
      <c r="H31" s="73"/>
    </row>
    <row r="32" spans="1:8" ht="15.75">
      <c r="A32" s="62" t="s">
        <v>4</v>
      </c>
      <c r="B32" s="37"/>
      <c r="C32" s="22"/>
      <c r="D32" s="686"/>
      <c r="E32" s="47"/>
      <c r="F32" s="76"/>
      <c r="G32" s="73"/>
      <c r="H32" s="76"/>
    </row>
    <row r="33" spans="1:8" ht="15.75">
      <c r="A33" s="65" t="s">
        <v>220</v>
      </c>
      <c r="B33" s="52"/>
      <c r="C33" s="22"/>
      <c r="D33" s="686"/>
      <c r="E33" s="47"/>
      <c r="F33" s="76"/>
      <c r="G33" s="76"/>
      <c r="H33" s="76"/>
    </row>
    <row r="34" spans="1:8" ht="15.75">
      <c r="A34" s="856" t="str">
        <f>inputPrYr!B37</f>
        <v>Employee Benefits</v>
      </c>
      <c r="B34" s="861"/>
      <c r="C34" s="22"/>
      <c r="D34" s="686"/>
      <c r="E34" s="47"/>
      <c r="F34" s="76"/>
      <c r="G34" s="76"/>
      <c r="H34" s="76"/>
    </row>
    <row r="35" spans="1:8" ht="15.75">
      <c r="A35" s="65">
        <f>inputPrYr!B39</f>
        <v>0</v>
      </c>
      <c r="B35" s="52"/>
      <c r="C35" s="22"/>
      <c r="D35" s="686"/>
      <c r="E35" s="47"/>
      <c r="F35" s="76"/>
      <c r="G35" s="76"/>
      <c r="H35" s="76"/>
    </row>
    <row r="36" spans="1:8" ht="15.75">
      <c r="A36" s="65">
        <f>inputPrYr!B40</f>
        <v>0</v>
      </c>
      <c r="B36" s="52"/>
      <c r="C36" s="22"/>
      <c r="D36" s="686"/>
      <c r="E36" s="47"/>
      <c r="F36" s="76"/>
      <c r="G36" s="76"/>
      <c r="H36" s="76"/>
    </row>
    <row r="37" spans="1:8" ht="15.75">
      <c r="A37" s="65"/>
      <c r="B37" s="52"/>
      <c r="C37" s="22"/>
      <c r="D37" s="686"/>
      <c r="E37" s="47"/>
      <c r="F37" s="76"/>
      <c r="G37" s="76"/>
      <c r="H37" s="76"/>
    </row>
    <row r="38" spans="1:8" ht="15.75">
      <c r="A38" s="65"/>
      <c r="B38" s="52"/>
      <c r="C38" s="22"/>
      <c r="D38" s="686"/>
      <c r="E38" s="47"/>
      <c r="F38" s="76"/>
      <c r="G38" s="76"/>
      <c r="H38" s="76"/>
    </row>
    <row r="39" spans="1:8" ht="15.75">
      <c r="A39" s="77"/>
      <c r="B39" s="37" t="s">
        <v>7</v>
      </c>
      <c r="C39" s="514"/>
      <c r="D39" s="78">
        <f>SUM(D32:D38)</f>
        <v>0</v>
      </c>
      <c r="E39" s="73"/>
      <c r="F39" s="76"/>
      <c r="G39" s="76"/>
      <c r="H39" s="76"/>
    </row>
    <row r="40" spans="1:8" ht="15">
      <c r="A40" s="77"/>
      <c r="B40" s="73"/>
      <c r="C40" s="73"/>
      <c r="D40" s="73"/>
      <c r="E40" s="73"/>
      <c r="F40" s="76"/>
      <c r="G40" s="76"/>
      <c r="H40" s="76"/>
    </row>
    <row r="41" spans="1:8" ht="15">
      <c r="A41" s="77"/>
      <c r="B41" s="73"/>
      <c r="C41" s="73"/>
      <c r="D41" s="73"/>
      <c r="E41" s="73"/>
      <c r="F41" s="76"/>
      <c r="G41" s="76"/>
      <c r="H41" s="76"/>
    </row>
    <row r="42" spans="1:8" ht="15.75">
      <c r="A42" s="868" t="str">
        <f>CONCATENATE("From the County Treasurer's Budget Information - Budget Year Estimates ",G1,":")</f>
        <v>From the County Treasurer's Budget Information - Budget Year Estimates 0:</v>
      </c>
      <c r="B42" s="848"/>
      <c r="C42" s="848"/>
      <c r="D42" s="869"/>
      <c r="E42" s="869"/>
      <c r="F42" s="870"/>
      <c r="G42" s="55"/>
      <c r="H42" s="55"/>
    </row>
    <row r="43" spans="1:8" ht="47.25">
      <c r="A43" s="506" t="s">
        <v>154</v>
      </c>
      <c r="B43" s="79"/>
      <c r="C43" s="80"/>
      <c r="D43" s="769" t="s">
        <v>757</v>
      </c>
      <c r="E43" s="769" t="s">
        <v>758</v>
      </c>
      <c r="F43" s="769" t="s">
        <v>759</v>
      </c>
      <c r="G43" s="769" t="s">
        <v>760</v>
      </c>
      <c r="H43" s="769" t="s">
        <v>761</v>
      </c>
    </row>
    <row r="44" spans="1:8" ht="15.75">
      <c r="A44" s="505">
        <f>inputPrYr!$D$4</f>
        <v>0</v>
      </c>
      <c r="B44" s="52"/>
      <c r="C44" s="51"/>
      <c r="D44" s="32"/>
      <c r="E44" s="32"/>
      <c r="F44" s="32"/>
      <c r="G44" s="32"/>
      <c r="H44" s="32"/>
    </row>
    <row r="45" spans="1:8" ht="15.75">
      <c r="A45" s="505">
        <f>inputPrYr!$D$6</f>
        <v>0</v>
      </c>
      <c r="B45" s="52"/>
      <c r="C45" s="51"/>
      <c r="D45" s="63"/>
      <c r="E45" s="63"/>
      <c r="F45" s="63"/>
      <c r="G45" s="63"/>
      <c r="H45" s="63"/>
    </row>
    <row r="46" spans="1:8" ht="15.75">
      <c r="A46" s="505">
        <f>inputPrYr!$D$7</f>
        <v>0</v>
      </c>
      <c r="B46" s="52"/>
      <c r="C46" s="51"/>
      <c r="D46" s="63"/>
      <c r="E46" s="63"/>
      <c r="F46" s="63"/>
      <c r="G46" s="63"/>
      <c r="H46" s="63"/>
    </row>
    <row r="47" spans="1:8" ht="15.75">
      <c r="A47" s="505">
        <f>inputPrYr!$D$8</f>
        <v>0</v>
      </c>
      <c r="B47" s="52"/>
      <c r="C47" s="51"/>
      <c r="D47" s="63"/>
      <c r="E47" s="63"/>
      <c r="F47" s="63"/>
      <c r="G47" s="63"/>
      <c r="H47" s="63"/>
    </row>
    <row r="48" spans="1:8" ht="15.75">
      <c r="A48" s="505">
        <f>inputPrYr!D9</f>
        <v>0</v>
      </c>
      <c r="B48" s="52"/>
      <c r="C48" s="51"/>
      <c r="D48" s="63"/>
      <c r="E48" s="63"/>
      <c r="F48" s="63"/>
      <c r="G48" s="63"/>
      <c r="H48" s="63"/>
    </row>
    <row r="49" spans="1:8" ht="15.75">
      <c r="A49" s="505">
        <f>inputPrYr!D10</f>
        <v>0</v>
      </c>
      <c r="B49" s="52"/>
      <c r="C49" s="51"/>
      <c r="D49" s="32"/>
      <c r="E49" s="32"/>
      <c r="F49" s="32"/>
      <c r="G49" s="32"/>
      <c r="H49" s="32"/>
    </row>
    <row r="50" spans="1:8" ht="15.75">
      <c r="A50" s="505">
        <f>inputPrYr!D11</f>
        <v>0</v>
      </c>
      <c r="B50" s="52"/>
      <c r="C50" s="51"/>
      <c r="D50" s="32"/>
      <c r="E50" s="32"/>
      <c r="F50" s="32"/>
      <c r="G50" s="32"/>
      <c r="H50" s="32"/>
    </row>
    <row r="51" spans="1:8" ht="15.75">
      <c r="A51" s="505">
        <f>inputPrYr!D12</f>
        <v>0</v>
      </c>
      <c r="B51" s="52"/>
      <c r="C51" s="51"/>
      <c r="D51" s="32"/>
      <c r="E51" s="32"/>
      <c r="F51" s="32"/>
      <c r="G51" s="32"/>
      <c r="H51" s="32"/>
    </row>
    <row r="52" spans="1:8" ht="15.75">
      <c r="A52" s="505">
        <f>inputPrYr!D13</f>
        <v>0</v>
      </c>
      <c r="B52" s="52"/>
      <c r="C52" s="51"/>
      <c r="D52" s="32"/>
      <c r="E52" s="32"/>
      <c r="F52" s="32"/>
      <c r="G52" s="32"/>
      <c r="H52" s="32"/>
    </row>
    <row r="53" spans="1:8" ht="15.75">
      <c r="A53" s="505">
        <f>inputPrYr!D14</f>
        <v>0</v>
      </c>
      <c r="B53" s="52"/>
      <c r="C53" s="51"/>
      <c r="D53" s="32"/>
      <c r="E53" s="32"/>
      <c r="F53" s="32"/>
      <c r="G53" s="32"/>
      <c r="H53" s="32"/>
    </row>
    <row r="54" spans="1:8" ht="15.75">
      <c r="A54" s="505">
        <f>inputPrYr!D15</f>
        <v>0</v>
      </c>
      <c r="B54" s="52"/>
      <c r="C54" s="51"/>
      <c r="D54" s="32"/>
      <c r="E54" s="32"/>
      <c r="F54" s="32"/>
      <c r="G54" s="32"/>
      <c r="H54" s="32"/>
    </row>
    <row r="55" spans="1:8" ht="15.75">
      <c r="A55" s="505">
        <f>inputPrYr!D16</f>
        <v>0</v>
      </c>
      <c r="B55" s="52"/>
      <c r="C55" s="51"/>
      <c r="D55" s="32"/>
      <c r="E55" s="32"/>
      <c r="F55" s="32"/>
      <c r="G55" s="32"/>
      <c r="H55" s="32"/>
    </row>
    <row r="56" spans="1:8" ht="15.75">
      <c r="A56" s="505">
        <f>inputPrYr!D17</f>
        <v>0</v>
      </c>
      <c r="B56" s="52"/>
      <c r="C56" s="51"/>
      <c r="D56" s="32"/>
      <c r="E56" s="32"/>
      <c r="F56" s="32"/>
      <c r="G56" s="32"/>
      <c r="H56" s="32"/>
    </row>
    <row r="57" spans="1:8" ht="15.75">
      <c r="A57" s="505">
        <f>inputPrYr!D18</f>
        <v>0</v>
      </c>
      <c r="B57" s="52"/>
      <c r="C57" s="51"/>
      <c r="D57" s="32"/>
      <c r="E57" s="32"/>
      <c r="F57" s="32"/>
      <c r="G57" s="32"/>
      <c r="H57" s="32"/>
    </row>
    <row r="58" spans="1:8" ht="15.75">
      <c r="A58" s="505">
        <f>inputPrYr!D19</f>
        <v>0</v>
      </c>
      <c r="B58" s="52"/>
      <c r="C58" s="51"/>
      <c r="D58" s="67"/>
      <c r="E58" s="67"/>
      <c r="F58" s="67"/>
      <c r="G58" s="67"/>
      <c r="H58" s="67"/>
    </row>
    <row r="59" spans="1:8" ht="15.75">
      <c r="A59" s="505">
        <f>inputPrYr!D20</f>
        <v>0</v>
      </c>
      <c r="B59" s="52"/>
      <c r="C59" s="51"/>
      <c r="D59" s="67"/>
      <c r="E59" s="67"/>
      <c r="F59" s="67"/>
      <c r="G59" s="67"/>
      <c r="H59" s="67"/>
    </row>
    <row r="60" spans="1:8" ht="16.5" thickBot="1">
      <c r="A60" s="504" t="s">
        <v>156</v>
      </c>
      <c r="B60" s="52"/>
      <c r="C60" s="51"/>
      <c r="D60" s="42">
        <f>SUM(D44:D59)</f>
        <v>0</v>
      </c>
      <c r="E60" s="42">
        <f>SUM(E44:E59)</f>
        <v>0</v>
      </c>
      <c r="F60" s="42">
        <f>SUM(F44:F59)</f>
        <v>0</v>
      </c>
      <c r="G60" s="42">
        <f>SUM(G44:G59)</f>
        <v>0</v>
      </c>
      <c r="H60" s="42">
        <f>SUM(H44:H59)</f>
        <v>0</v>
      </c>
    </row>
    <row r="61" spans="1:8" ht="16.5" thickTop="1">
      <c r="A61" s="18"/>
      <c r="B61" s="19"/>
      <c r="C61" s="19"/>
      <c r="D61" s="72"/>
      <c r="E61" s="47"/>
      <c r="F61" s="82"/>
      <c r="G61" s="76"/>
      <c r="H61" s="76"/>
    </row>
    <row r="62" spans="1:8" ht="15.75">
      <c r="A62" s="36" t="s">
        <v>135</v>
      </c>
      <c r="B62" s="37"/>
      <c r="C62" s="37"/>
      <c r="D62" s="50"/>
      <c r="E62" s="47"/>
      <c r="F62" s="82"/>
      <c r="G62" s="76"/>
      <c r="H62" s="76"/>
    </row>
    <row r="63" spans="1:8" ht="15.75">
      <c r="A63" s="19"/>
      <c r="B63" s="19"/>
      <c r="C63" s="19"/>
      <c r="D63" s="19"/>
      <c r="E63" s="19"/>
      <c r="F63" s="55"/>
      <c r="G63" s="55"/>
      <c r="H63" s="55"/>
    </row>
    <row r="64" spans="1:8" ht="15.75">
      <c r="A64" s="871" t="s">
        <v>99</v>
      </c>
      <c r="B64" s="872"/>
      <c r="C64" s="872"/>
      <c r="D64" s="873"/>
      <c r="E64" s="19"/>
      <c r="F64" s="55"/>
      <c r="G64" s="55"/>
      <c r="H64" s="55"/>
    </row>
    <row r="65" spans="1:8" ht="15.75">
      <c r="A65" s="850" t="str">
        <f>CONCATENATE("",G1-3," Tax Uncollected and ",G1-2," Ad Valorem Levied")</f>
        <v>-3 Tax Uncollected and -2 Ad Valorem Levied</v>
      </c>
      <c r="B65" s="851"/>
      <c r="C65" s="851"/>
      <c r="D65" s="852"/>
      <c r="E65" s="19"/>
      <c r="F65" s="55"/>
      <c r="G65" s="55"/>
      <c r="H65" s="55"/>
    </row>
    <row r="66" spans="1:8" ht="15.75">
      <c r="A66" s="83" t="s">
        <v>118</v>
      </c>
      <c r="B66" s="22"/>
      <c r="C66" s="84" t="s">
        <v>23</v>
      </c>
      <c r="D66" s="84" t="s">
        <v>23</v>
      </c>
      <c r="E66" s="85"/>
      <c r="F66" s="55"/>
      <c r="G66" s="55"/>
      <c r="H66" s="55"/>
    </row>
    <row r="67" spans="1:8" ht="15.75">
      <c r="A67" s="37" t="s">
        <v>154</v>
      </c>
      <c r="B67" s="41"/>
      <c r="C67" s="86" t="s">
        <v>162</v>
      </c>
      <c r="D67" s="86" t="s">
        <v>163</v>
      </c>
      <c r="E67" s="85"/>
      <c r="F67" s="55"/>
      <c r="G67" s="55"/>
      <c r="H67" s="55"/>
    </row>
    <row r="68" spans="1:8" ht="15.75">
      <c r="A68" s="40">
        <f>inputPrYr!$D$4</f>
        <v>0</v>
      </c>
      <c r="B68" s="81"/>
      <c r="C68" s="87"/>
      <c r="D68" s="50"/>
      <c r="E68" s="85"/>
      <c r="F68" s="55"/>
      <c r="G68" s="55"/>
      <c r="H68" s="55"/>
    </row>
    <row r="69" spans="1:8" ht="15.75">
      <c r="A69" s="40">
        <f>inputPrYr!$D$6</f>
        <v>0</v>
      </c>
      <c r="B69" s="81"/>
      <c r="C69" s="88"/>
      <c r="D69" s="89"/>
      <c r="E69" s="90"/>
      <c r="F69" s="55"/>
      <c r="G69" s="55"/>
      <c r="H69" s="55"/>
    </row>
    <row r="70" spans="1:8" ht="15.75">
      <c r="A70" s="40">
        <f>inputPrYr!$D$7</f>
        <v>0</v>
      </c>
      <c r="B70" s="81"/>
      <c r="C70" s="88"/>
      <c r="D70" s="89"/>
      <c r="E70" s="90"/>
      <c r="F70" s="55"/>
      <c r="G70" s="55"/>
      <c r="H70" s="55"/>
    </row>
    <row r="71" spans="1:8" ht="15.75">
      <c r="A71" s="40">
        <f>inputPrYr!$D$8</f>
        <v>0</v>
      </c>
      <c r="B71" s="81"/>
      <c r="C71" s="88"/>
      <c r="D71" s="89"/>
      <c r="E71" s="90"/>
      <c r="F71" s="55"/>
      <c r="G71" s="55"/>
      <c r="H71" s="55"/>
    </row>
    <row r="72" spans="1:8" ht="15.75">
      <c r="A72" s="40">
        <f>inputPrYr!D9</f>
        <v>0</v>
      </c>
      <c r="B72" s="81"/>
      <c r="C72" s="88"/>
      <c r="D72" s="89"/>
      <c r="E72" s="90"/>
      <c r="F72" s="55"/>
      <c r="G72" s="55"/>
      <c r="H72" s="55"/>
    </row>
    <row r="73" spans="1:8" ht="15.75">
      <c r="A73" s="40">
        <f>inputPrYr!D10</f>
        <v>0</v>
      </c>
      <c r="B73" s="81"/>
      <c r="C73" s="50"/>
      <c r="D73" s="50"/>
      <c r="E73" s="90"/>
      <c r="F73" s="55"/>
      <c r="G73" s="55"/>
      <c r="H73" s="55"/>
    </row>
    <row r="74" spans="1:8" ht="15.75">
      <c r="A74" s="40">
        <f>inputPrYr!D11</f>
        <v>0</v>
      </c>
      <c r="B74" s="81"/>
      <c r="C74" s="50"/>
      <c r="D74" s="50"/>
      <c r="E74" s="90"/>
      <c r="F74" s="55"/>
      <c r="G74" s="55"/>
      <c r="H74" s="55"/>
    </row>
    <row r="75" spans="1:8" ht="15.75">
      <c r="A75" s="40">
        <f>inputPrYr!D12</f>
        <v>0</v>
      </c>
      <c r="B75" s="81"/>
      <c r="C75" s="50"/>
      <c r="D75" s="50"/>
      <c r="E75" s="90"/>
      <c r="F75" s="55"/>
      <c r="G75" s="55"/>
      <c r="H75" s="55"/>
    </row>
    <row r="76" spans="1:8" ht="15.75">
      <c r="A76" s="40">
        <f>inputPrYr!D13</f>
        <v>0</v>
      </c>
      <c r="B76" s="81"/>
      <c r="C76" s="50"/>
      <c r="D76" s="50"/>
      <c r="E76" s="90"/>
      <c r="F76" s="55"/>
      <c r="G76" s="55"/>
      <c r="H76" s="55"/>
    </row>
    <row r="77" spans="1:8" ht="15.75">
      <c r="A77" s="40">
        <f>inputPrYr!D14</f>
        <v>0</v>
      </c>
      <c r="B77" s="81"/>
      <c r="C77" s="50"/>
      <c r="D77" s="50"/>
      <c r="E77" s="90"/>
      <c r="F77" s="55"/>
      <c r="G77" s="55"/>
      <c r="H77" s="55"/>
    </row>
    <row r="78" spans="1:8" ht="15.75">
      <c r="A78" s="40">
        <f>inputPrYr!D15</f>
        <v>0</v>
      </c>
      <c r="B78" s="81"/>
      <c r="C78" s="50"/>
      <c r="D78" s="50"/>
      <c r="E78" s="90"/>
      <c r="F78" s="55"/>
      <c r="G78" s="55"/>
      <c r="H78" s="55"/>
    </row>
    <row r="79" spans="1:8" ht="15.75">
      <c r="A79" s="40">
        <f>inputPrYr!D16</f>
        <v>0</v>
      </c>
      <c r="B79" s="81"/>
      <c r="C79" s="50"/>
      <c r="D79" s="50"/>
      <c r="E79" s="90"/>
      <c r="F79" s="55"/>
      <c r="G79" s="55"/>
      <c r="H79" s="55"/>
    </row>
    <row r="80" spans="1:8" ht="15.75">
      <c r="A80" s="40">
        <f>inputPrYr!D17</f>
        <v>0</v>
      </c>
      <c r="B80" s="81"/>
      <c r="C80" s="50"/>
      <c r="D80" s="50"/>
      <c r="E80" s="90"/>
      <c r="F80" s="55"/>
      <c r="G80" s="55"/>
      <c r="H80" s="55"/>
    </row>
    <row r="81" spans="1:8" ht="15.75">
      <c r="A81" s="40">
        <f>inputPrYr!D18</f>
        <v>0</v>
      </c>
      <c r="B81" s="81"/>
      <c r="C81" s="50"/>
      <c r="D81" s="50"/>
      <c r="E81" s="90"/>
      <c r="F81" s="55"/>
      <c r="G81" s="55"/>
      <c r="H81" s="55"/>
    </row>
    <row r="82" spans="1:8" ht="15.75">
      <c r="A82" s="40">
        <f>inputPrYr!D19</f>
        <v>0</v>
      </c>
      <c r="B82" s="81"/>
      <c r="C82" s="69"/>
      <c r="D82" s="50"/>
      <c r="E82" s="90"/>
      <c r="F82" s="55"/>
      <c r="G82" s="55"/>
      <c r="H82" s="55"/>
    </row>
    <row r="83" spans="1:8" ht="15.75">
      <c r="A83" s="40">
        <f>inputPrYr!D20</f>
        <v>0</v>
      </c>
      <c r="B83" s="81"/>
      <c r="C83" s="69"/>
      <c r="D83" s="91"/>
      <c r="E83" s="90"/>
      <c r="F83" s="55"/>
      <c r="G83" s="55"/>
      <c r="H83" s="55"/>
    </row>
    <row r="84" spans="1:8" ht="16.5" thickBot="1">
      <c r="A84" s="83" t="s">
        <v>7</v>
      </c>
      <c r="B84" s="81"/>
      <c r="C84" s="42">
        <f>SUM(C68:C83)</f>
        <v>0</v>
      </c>
      <c r="D84" s="42">
        <f>SUM(D68:D83)</f>
        <v>0</v>
      </c>
      <c r="E84" s="19"/>
      <c r="F84" s="55"/>
      <c r="G84" s="55"/>
      <c r="H84" s="55"/>
    </row>
    <row r="85" spans="1:8" ht="16.5" thickTop="1">
      <c r="A85" s="83" t="s">
        <v>616</v>
      </c>
      <c r="B85" s="37"/>
      <c r="C85" s="37"/>
      <c r="D85" s="37"/>
      <c r="E85" s="752">
        <f>IF(C84=0,0,C84/D84)</f>
        <v>0</v>
      </c>
      <c r="F85" s="55"/>
      <c r="G85" s="55"/>
      <c r="H85" s="55"/>
    </row>
    <row r="86" spans="1:8" ht="15.75">
      <c r="A86" s="537" t="s">
        <v>600</v>
      </c>
      <c r="B86" s="83"/>
      <c r="C86" s="22"/>
      <c r="D86" s="22"/>
      <c r="E86" s="92"/>
      <c r="F86" s="55"/>
      <c r="G86" s="536">
        <v>0</v>
      </c>
      <c r="H86" s="55"/>
    </row>
    <row r="87" spans="1:8" ht="15.75">
      <c r="A87" s="93" t="s">
        <v>150</v>
      </c>
      <c r="B87" s="94"/>
      <c r="C87" s="94"/>
      <c r="D87" s="94"/>
      <c r="E87" s="94"/>
      <c r="F87" s="95"/>
      <c r="G87" s="95"/>
      <c r="H87" s="55"/>
    </row>
    <row r="88" spans="1:8" ht="15">
      <c r="A88" s="55"/>
      <c r="B88" s="55"/>
      <c r="C88" s="55"/>
      <c r="D88" s="55"/>
      <c r="E88" s="55"/>
      <c r="F88" s="55"/>
      <c r="G88" s="55"/>
      <c r="H88" s="55"/>
    </row>
    <row r="89" spans="1:8" ht="15.75">
      <c r="A89" s="876" t="str">
        <f>CONCATENATE("From the ",G1-2," Budget Certificate Page")</f>
        <v>From the -2 Budget Certificate Page</v>
      </c>
      <c r="B89" s="877"/>
      <c r="C89" s="861"/>
      <c r="D89" s="849"/>
      <c r="E89" s="55"/>
      <c r="F89" s="55"/>
      <c r="G89" s="55"/>
      <c r="H89" s="55"/>
    </row>
    <row r="90" spans="1:10" ht="15.75">
      <c r="A90" s="862" t="s">
        <v>166</v>
      </c>
      <c r="B90" s="863"/>
      <c r="C90" s="857" t="str">
        <f>CONCATENATE("",G1-2," Expenditure Amounts Budget Authority")</f>
        <v>-2 Expenditure Amounts Budget Authority</v>
      </c>
      <c r="D90" s="858"/>
      <c r="E90" s="878" t="str">
        <f>CONCATENATE("Note: If the ",G1-2," budget was amended, then the")</f>
        <v>Note: If the -2 budget was amended, then the</v>
      </c>
      <c r="F90" s="879"/>
      <c r="G90" s="879"/>
      <c r="H90" s="96"/>
      <c r="I90" s="97"/>
      <c r="J90" s="97"/>
    </row>
    <row r="91" spans="1:8" ht="15.75">
      <c r="A91" s="864"/>
      <c r="B91" s="865"/>
      <c r="C91" s="859"/>
      <c r="D91" s="860"/>
      <c r="E91" s="98" t="s">
        <v>167</v>
      </c>
      <c r="F91" s="55"/>
      <c r="G91" s="55"/>
      <c r="H91" s="98"/>
    </row>
    <row r="92" spans="1:8" ht="15.75">
      <c r="A92" s="856" t="str">
        <f>inputPrYr!B35</f>
        <v>General</v>
      </c>
      <c r="B92" s="849"/>
      <c r="C92" s="874"/>
      <c r="D92" s="875"/>
      <c r="E92" s="98" t="s">
        <v>168</v>
      </c>
      <c r="F92" s="55"/>
      <c r="G92" s="55"/>
      <c r="H92" s="98"/>
    </row>
    <row r="93" spans="1:8" ht="15.75">
      <c r="A93" s="856" t="str">
        <f>inputPrYr!B36</f>
        <v>Debt Service</v>
      </c>
      <c r="B93" s="849"/>
      <c r="C93" s="874"/>
      <c r="D93" s="875"/>
      <c r="E93" s="99"/>
      <c r="F93" s="55"/>
      <c r="G93" s="55"/>
      <c r="H93" s="55"/>
    </row>
    <row r="94" spans="1:8" ht="15.75">
      <c r="A94" s="856" t="str">
        <f>inputPrYr!B37</f>
        <v>Employee Benefits</v>
      </c>
      <c r="B94" s="849"/>
      <c r="C94" s="874"/>
      <c r="D94" s="875"/>
      <c r="E94" s="99"/>
      <c r="F94" s="55"/>
      <c r="G94" s="55"/>
      <c r="H94" s="55"/>
    </row>
    <row r="95" spans="1:8" ht="15.75">
      <c r="A95" s="856">
        <f>inputPrYr!B39</f>
        <v>0</v>
      </c>
      <c r="B95" s="849"/>
      <c r="C95" s="874"/>
      <c r="D95" s="875"/>
      <c r="E95" s="55"/>
      <c r="F95" s="55"/>
      <c r="G95" s="55"/>
      <c r="H95" s="55"/>
    </row>
    <row r="96" spans="1:8" ht="15.75">
      <c r="A96" s="856">
        <f>inputPrYr!B40</f>
        <v>0</v>
      </c>
      <c r="B96" s="849"/>
      <c r="C96" s="874"/>
      <c r="D96" s="875"/>
      <c r="E96" s="55"/>
      <c r="F96" s="55"/>
      <c r="G96" s="55"/>
      <c r="H96" s="55"/>
    </row>
    <row r="97" spans="1:8" ht="15.75">
      <c r="A97" s="856">
        <f>inputPrYr!B43</f>
        <v>0</v>
      </c>
      <c r="B97" s="849"/>
      <c r="C97" s="874"/>
      <c r="D97" s="875"/>
      <c r="E97" s="55"/>
      <c r="F97" s="55"/>
      <c r="G97" s="55"/>
      <c r="H97" s="55"/>
    </row>
    <row r="98" spans="1:8" ht="15.75">
      <c r="A98" s="856">
        <f>inputPrYr!B44</f>
        <v>0</v>
      </c>
      <c r="B98" s="849"/>
      <c r="C98" s="874"/>
      <c r="D98" s="875"/>
      <c r="E98" s="55"/>
      <c r="F98" s="55"/>
      <c r="G98" s="55"/>
      <c r="H98" s="55"/>
    </row>
  </sheetData>
  <sheetProtection sheet="1"/>
  <mergeCells count="31">
    <mergeCell ref="A89:D89"/>
    <mergeCell ref="E90:G90"/>
    <mergeCell ref="C92:D92"/>
    <mergeCell ref="C93:D93"/>
    <mergeCell ref="C94:D94"/>
    <mergeCell ref="A94:B94"/>
    <mergeCell ref="A92:B92"/>
    <mergeCell ref="A95:B95"/>
    <mergeCell ref="C98:D98"/>
    <mergeCell ref="A98:B98"/>
    <mergeCell ref="C95:D95"/>
    <mergeCell ref="C96:D96"/>
    <mergeCell ref="C97:D97"/>
    <mergeCell ref="A96:B96"/>
    <mergeCell ref="A97:B97"/>
    <mergeCell ref="A65:D65"/>
    <mergeCell ref="H7:H9"/>
    <mergeCell ref="A93:B93"/>
    <mergeCell ref="C90:D91"/>
    <mergeCell ref="A34:B34"/>
    <mergeCell ref="A90:B91"/>
    <mergeCell ref="A31:B31"/>
    <mergeCell ref="A42:F42"/>
    <mergeCell ref="G7:G9"/>
    <mergeCell ref="A64:D64"/>
    <mergeCell ref="A3:G3"/>
    <mergeCell ref="C7:C9"/>
    <mergeCell ref="D7:D9"/>
    <mergeCell ref="E7:E9"/>
    <mergeCell ref="F7:F9"/>
    <mergeCell ref="A6:H6"/>
  </mergeCells>
  <printOptions/>
  <pageMargins left="0.75" right="0.75" top="1" bottom="1" header="0.5" footer="0.5"/>
  <pageSetup blackAndWhite="1" fitToHeight="2" fitToWidth="1" horizontalDpi="600" verticalDpi="600" orientation="portrait" scale="85"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N66" sqref="N66"/>
    </sheetView>
  </sheetViews>
  <sheetFormatPr defaultColWidth="8.796875" defaultRowHeight="15"/>
  <cols>
    <col min="1" max="1" width="71.19921875" style="0" customWidth="1"/>
  </cols>
  <sheetData>
    <row r="1" ht="16.5">
      <c r="A1" s="396" t="s">
        <v>534</v>
      </c>
    </row>
    <row r="3" ht="31.5">
      <c r="A3" s="397" t="s">
        <v>535</v>
      </c>
    </row>
    <row r="4" ht="15.75">
      <c r="A4" s="398" t="s">
        <v>536</v>
      </c>
    </row>
    <row r="7" ht="31.5">
      <c r="A7" s="397" t="s">
        <v>537</v>
      </c>
    </row>
    <row r="8" ht="15.75">
      <c r="A8" s="398" t="s">
        <v>538</v>
      </c>
    </row>
    <row r="11" ht="15.75">
      <c r="A11" s="399" t="s">
        <v>539</v>
      </c>
    </row>
    <row r="12" ht="15.75">
      <c r="A12" s="398" t="s">
        <v>540</v>
      </c>
    </row>
    <row r="15" ht="15.75">
      <c r="A15" s="399" t="s">
        <v>541</v>
      </c>
    </row>
    <row r="16" ht="15.75">
      <c r="A16" s="398" t="s">
        <v>542</v>
      </c>
    </row>
    <row r="19" ht="15.75">
      <c r="A19" s="399" t="s">
        <v>543</v>
      </c>
    </row>
    <row r="20" ht="15.75">
      <c r="A20" s="398" t="s">
        <v>544</v>
      </c>
    </row>
    <row r="23" ht="15.75">
      <c r="A23" s="399" t="s">
        <v>545</v>
      </c>
    </row>
    <row r="24" ht="15.75">
      <c r="A24" s="398" t="s">
        <v>546</v>
      </c>
    </row>
    <row r="27" ht="15.75">
      <c r="A27" s="399" t="s">
        <v>547</v>
      </c>
    </row>
    <row r="28" ht="15.75">
      <c r="A28" s="398" t="s">
        <v>548</v>
      </c>
    </row>
    <row r="31" ht="15.75">
      <c r="A31" s="399" t="s">
        <v>549</v>
      </c>
    </row>
    <row r="32" ht="15.75">
      <c r="A32" s="398" t="s">
        <v>550</v>
      </c>
    </row>
    <row r="35" ht="15.75">
      <c r="A35" s="399" t="s">
        <v>551</v>
      </c>
    </row>
    <row r="36" ht="15.75">
      <c r="A36" s="398" t="s">
        <v>552</v>
      </c>
    </row>
    <row r="39" ht="15.75">
      <c r="A39" s="399" t="s">
        <v>553</v>
      </c>
    </row>
    <row r="40" ht="15.75">
      <c r="A40" s="398" t="s">
        <v>554</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4"/>
  <sheetViews>
    <sheetView zoomScalePageLayoutView="0" workbookViewId="0" topLeftCell="A1">
      <selection activeCell="K255" sqref="K255"/>
    </sheetView>
  </sheetViews>
  <sheetFormatPr defaultColWidth="8.796875" defaultRowHeight="15"/>
  <cols>
    <col min="1" max="1" width="84.59765625" style="1" customWidth="1"/>
    <col min="2" max="2" width="14.59765625" style="1" customWidth="1"/>
    <col min="3" max="3" width="14.19921875" style="1" customWidth="1"/>
    <col min="4" max="16384" width="8.8984375" style="1" customWidth="1"/>
  </cols>
  <sheetData>
    <row r="1" ht="15.75">
      <c r="A1" s="284" t="s">
        <v>790</v>
      </c>
    </row>
    <row r="2" ht="15.75">
      <c r="A2" s="1" t="s">
        <v>791</v>
      </c>
    </row>
    <row r="4" ht="15.75">
      <c r="A4" s="284" t="s">
        <v>788</v>
      </c>
    </row>
    <row r="5" ht="15.75">
      <c r="A5" s="1" t="s">
        <v>789</v>
      </c>
    </row>
    <row r="7" ht="15.75">
      <c r="A7" s="284" t="s">
        <v>786</v>
      </c>
    </row>
    <row r="8" ht="15.75">
      <c r="A8" s="1" t="s">
        <v>792</v>
      </c>
    </row>
    <row r="9" ht="15.75">
      <c r="A9" s="1" t="s">
        <v>793</v>
      </c>
    </row>
    <row r="10" ht="15.75">
      <c r="A10" s="1" t="s">
        <v>794</v>
      </c>
    </row>
    <row r="11" ht="15.75">
      <c r="A11" s="1" t="s">
        <v>795</v>
      </c>
    </row>
    <row r="12" ht="15.75">
      <c r="A12" s="1" t="s">
        <v>796</v>
      </c>
    </row>
    <row r="14" ht="15.75">
      <c r="A14" s="308" t="s">
        <v>797</v>
      </c>
    </row>
    <row r="15" ht="15.75">
      <c r="A15" s="737" t="s">
        <v>775</v>
      </c>
    </row>
    <row r="16" ht="15.75">
      <c r="A16" s="5" t="s">
        <v>776</v>
      </c>
    </row>
    <row r="18" ht="15.75">
      <c r="A18" s="308" t="s">
        <v>798</v>
      </c>
    </row>
    <row r="19" ht="15.75">
      <c r="A19" s="737" t="s">
        <v>774</v>
      </c>
    </row>
    <row r="21" ht="15.75">
      <c r="A21" s="284" t="s">
        <v>756</v>
      </c>
    </row>
    <row r="22" ht="15.75">
      <c r="A22" s="1" t="s">
        <v>755</v>
      </c>
    </row>
    <row r="24" ht="15.75">
      <c r="A24" s="308" t="s">
        <v>799</v>
      </c>
    </row>
    <row r="25" ht="15.75">
      <c r="A25" s="737" t="s">
        <v>749</v>
      </c>
    </row>
    <row r="27" ht="15.75">
      <c r="A27" s="284" t="s">
        <v>741</v>
      </c>
    </row>
    <row r="28" ht="15.75">
      <c r="A28" s="1" t="s">
        <v>800</v>
      </c>
    </row>
    <row r="30" ht="15.75">
      <c r="A30" s="284" t="s">
        <v>738</v>
      </c>
    </row>
    <row r="31" ht="15.75">
      <c r="A31" s="1" t="s">
        <v>739</v>
      </c>
    </row>
    <row r="33" ht="15.75">
      <c r="A33" s="284" t="s">
        <v>736</v>
      </c>
    </row>
    <row r="34" ht="15.75">
      <c r="A34" s="1" t="s">
        <v>737</v>
      </c>
    </row>
    <row r="36" ht="15.75">
      <c r="A36" s="308" t="s">
        <v>801</v>
      </c>
    </row>
    <row r="37" ht="15.75">
      <c r="A37" s="737" t="s">
        <v>735</v>
      </c>
    </row>
    <row r="39" ht="15.75">
      <c r="A39" s="308" t="s">
        <v>802</v>
      </c>
    </row>
    <row r="40" ht="15.75">
      <c r="A40" s="697" t="s">
        <v>712</v>
      </c>
    </row>
    <row r="42" ht="15.75">
      <c r="A42" s="308" t="s">
        <v>803</v>
      </c>
    </row>
    <row r="43" ht="15.75">
      <c r="A43" s="5" t="s">
        <v>804</v>
      </c>
    </row>
    <row r="45" ht="15.75">
      <c r="A45" s="308" t="s">
        <v>805</v>
      </c>
    </row>
    <row r="46" ht="15.75">
      <c r="A46" s="5" t="s">
        <v>806</v>
      </c>
    </row>
    <row r="48" ht="15.75">
      <c r="A48" s="308" t="s">
        <v>807</v>
      </c>
    </row>
    <row r="49" ht="15.75">
      <c r="A49" s="473" t="s">
        <v>808</v>
      </c>
    </row>
    <row r="51" ht="15.75">
      <c r="A51" s="308" t="s">
        <v>809</v>
      </c>
    </row>
    <row r="52" ht="15.75">
      <c r="A52" s="5" t="s">
        <v>710</v>
      </c>
    </row>
    <row r="54" ht="15.75">
      <c r="A54" s="308" t="s">
        <v>810</v>
      </c>
    </row>
    <row r="55" ht="15.75">
      <c r="A55" s="685" t="s">
        <v>811</v>
      </c>
    </row>
    <row r="57" ht="15.75">
      <c r="A57" s="308" t="s">
        <v>812</v>
      </c>
    </row>
    <row r="58" ht="15.75">
      <c r="A58" s="1" t="s">
        <v>813</v>
      </c>
    </row>
    <row r="59" ht="33" customHeight="1">
      <c r="A59" s="2" t="s">
        <v>814</v>
      </c>
    </row>
    <row r="60" ht="15.75" customHeight="1">
      <c r="A60" s="2" t="s">
        <v>815</v>
      </c>
    </row>
    <row r="61" ht="15.75" customHeight="1"/>
    <row r="62" ht="15.75">
      <c r="A62" s="308" t="s">
        <v>816</v>
      </c>
    </row>
    <row r="63" ht="15.75">
      <c r="A63" s="473" t="s">
        <v>817</v>
      </c>
    </row>
    <row r="64" ht="15.75">
      <c r="A64" s="473" t="s">
        <v>818</v>
      </c>
    </row>
    <row r="65" ht="15.75">
      <c r="A65" s="5" t="s">
        <v>819</v>
      </c>
    </row>
    <row r="66" ht="15.75">
      <c r="A66" s="5" t="s">
        <v>820</v>
      </c>
    </row>
    <row r="67" ht="15.75">
      <c r="A67" s="5" t="s">
        <v>821</v>
      </c>
    </row>
    <row r="68" ht="15.75">
      <c r="A68" s="5" t="s">
        <v>822</v>
      </c>
    </row>
    <row r="69" ht="15.75">
      <c r="A69" s="5" t="s">
        <v>823</v>
      </c>
    </row>
    <row r="70" ht="15.75">
      <c r="A70" s="5" t="s">
        <v>824</v>
      </c>
    </row>
    <row r="71" ht="15.75">
      <c r="A71" s="5" t="s">
        <v>825</v>
      </c>
    </row>
    <row r="72" ht="15.75">
      <c r="A72" s="5" t="s">
        <v>826</v>
      </c>
    </row>
    <row r="73" ht="47.25">
      <c r="A73" s="11" t="s">
        <v>827</v>
      </c>
    </row>
    <row r="74" ht="31.5">
      <c r="A74" s="11" t="s">
        <v>828</v>
      </c>
    </row>
    <row r="75" ht="15.75">
      <c r="A75" s="5" t="s">
        <v>829</v>
      </c>
    </row>
    <row r="76" ht="15.75">
      <c r="A76" s="5" t="s">
        <v>830</v>
      </c>
    </row>
    <row r="77" ht="15.75">
      <c r="A77" s="5" t="s">
        <v>831</v>
      </c>
    </row>
    <row r="78" ht="15.75">
      <c r="A78" s="5" t="s">
        <v>832</v>
      </c>
    </row>
    <row r="79" ht="15.75">
      <c r="A79" s="5" t="s">
        <v>833</v>
      </c>
    </row>
    <row r="80" ht="15.75">
      <c r="A80" s="5" t="s">
        <v>834</v>
      </c>
    </row>
    <row r="81" ht="15.75">
      <c r="A81" s="5" t="s">
        <v>835</v>
      </c>
    </row>
    <row r="82" ht="15.75">
      <c r="A82" s="5" t="s">
        <v>836</v>
      </c>
    </row>
    <row r="83" ht="15.75">
      <c r="A83" s="5" t="s">
        <v>837</v>
      </c>
    </row>
    <row r="84" ht="15.75">
      <c r="A84" s="5" t="s">
        <v>838</v>
      </c>
    </row>
    <row r="86" ht="15.75">
      <c r="A86" s="308" t="s">
        <v>839</v>
      </c>
    </row>
    <row r="87" ht="15.75">
      <c r="A87" s="461" t="s">
        <v>840</v>
      </c>
    </row>
    <row r="88" ht="15.75">
      <c r="A88" s="461" t="s">
        <v>841</v>
      </c>
    </row>
    <row r="90" ht="15.75">
      <c r="A90" s="308" t="s">
        <v>842</v>
      </c>
    </row>
    <row r="91" ht="15.75">
      <c r="A91" s="461" t="s">
        <v>843</v>
      </c>
    </row>
    <row r="92" ht="15.75">
      <c r="A92" s="461" t="s">
        <v>844</v>
      </c>
    </row>
    <row r="93" ht="31.5">
      <c r="A93" s="462" t="s">
        <v>845</v>
      </c>
    </row>
    <row r="94" ht="15.75">
      <c r="A94" s="461" t="s">
        <v>846</v>
      </c>
    </row>
    <row r="95" ht="15.75">
      <c r="A95" s="461" t="s">
        <v>847</v>
      </c>
    </row>
    <row r="96" ht="15.75">
      <c r="A96" s="461" t="s">
        <v>848</v>
      </c>
    </row>
    <row r="97" ht="15.75">
      <c r="A97" s="461" t="s">
        <v>849</v>
      </c>
    </row>
    <row r="98" ht="15.75">
      <c r="A98" s="461" t="s">
        <v>850</v>
      </c>
    </row>
    <row r="99" ht="15.75">
      <c r="A99" s="461" t="s">
        <v>851</v>
      </c>
    </row>
    <row r="100" ht="15.75">
      <c r="A100" s="461" t="s">
        <v>852</v>
      </c>
    </row>
    <row r="101" ht="15.75">
      <c r="A101" s="461" t="s">
        <v>853</v>
      </c>
    </row>
    <row r="102" ht="15.75">
      <c r="A102" s="461" t="s">
        <v>854</v>
      </c>
    </row>
    <row r="103" ht="15.75">
      <c r="A103" s="461" t="s">
        <v>855</v>
      </c>
    </row>
    <row r="104" ht="15.75">
      <c r="A104" s="461" t="s">
        <v>856</v>
      </c>
    </row>
    <row r="105" ht="15.75">
      <c r="A105" s="461" t="s">
        <v>857</v>
      </c>
    </row>
    <row r="106" ht="15.75">
      <c r="A106" s="461" t="s">
        <v>858</v>
      </c>
    </row>
    <row r="107" ht="15.75">
      <c r="A107" s="461" t="s">
        <v>859</v>
      </c>
    </row>
    <row r="108" ht="15.75">
      <c r="A108" s="461" t="s">
        <v>860</v>
      </c>
    </row>
    <row r="109" ht="15.75">
      <c r="A109" s="461" t="s">
        <v>861</v>
      </c>
    </row>
    <row r="110" ht="15.75">
      <c r="A110" s="461" t="s">
        <v>862</v>
      </c>
    </row>
    <row r="111" ht="15.75">
      <c r="A111" s="461" t="s">
        <v>863</v>
      </c>
    </row>
    <row r="112" ht="15.75">
      <c r="A112" s="461" t="s">
        <v>864</v>
      </c>
    </row>
    <row r="113" ht="15.75">
      <c r="A113" s="461" t="s">
        <v>865</v>
      </c>
    </row>
    <row r="114" ht="15.75">
      <c r="A114" s="461"/>
    </row>
    <row r="115" ht="15.75">
      <c r="A115" s="308" t="s">
        <v>866</v>
      </c>
    </row>
    <row r="116" ht="15.75">
      <c r="A116" s="5" t="s">
        <v>867</v>
      </c>
    </row>
    <row r="117" ht="15.75">
      <c r="A117" s="5" t="s">
        <v>868</v>
      </c>
    </row>
    <row r="118" ht="15.75">
      <c r="A118" s="5" t="s">
        <v>869</v>
      </c>
    </row>
    <row r="120" ht="15.75">
      <c r="A120" s="314" t="s">
        <v>870</v>
      </c>
    </row>
    <row r="121" ht="15.75">
      <c r="A121" s="5" t="s">
        <v>871</v>
      </c>
    </row>
    <row r="123" ht="15.75">
      <c r="A123" s="308" t="s">
        <v>872</v>
      </c>
    </row>
    <row r="124" ht="15.75">
      <c r="A124" s="309" t="s">
        <v>873</v>
      </c>
    </row>
    <row r="125" ht="15.75">
      <c r="A125" s="309" t="s">
        <v>874</v>
      </c>
    </row>
    <row r="126" ht="15.75">
      <c r="A126" s="309" t="s">
        <v>875</v>
      </c>
    </row>
    <row r="127" ht="15.75">
      <c r="A127" s="5" t="s">
        <v>876</v>
      </c>
    </row>
    <row r="129" ht="15.75">
      <c r="A129" s="284" t="s">
        <v>877</v>
      </c>
    </row>
    <row r="130" ht="15.75">
      <c r="A130" s="286" t="s">
        <v>246</v>
      </c>
    </row>
    <row r="131" ht="15.75">
      <c r="A131" s="286" t="s">
        <v>878</v>
      </c>
    </row>
    <row r="132" ht="15.75">
      <c r="A132" s="286" t="s">
        <v>879</v>
      </c>
    </row>
    <row r="133" ht="15.75">
      <c r="A133" s="287" t="s">
        <v>880</v>
      </c>
    </row>
    <row r="134" ht="15.75">
      <c r="A134" s="287" t="s">
        <v>881</v>
      </c>
    </row>
    <row r="135" ht="15.75">
      <c r="A135" s="287" t="s">
        <v>882</v>
      </c>
    </row>
    <row r="136" ht="15.75">
      <c r="A136" s="287" t="s">
        <v>883</v>
      </c>
    </row>
    <row r="137" ht="15.75">
      <c r="A137" s="287" t="s">
        <v>884</v>
      </c>
    </row>
    <row r="138" ht="15.75">
      <c r="A138" s="287" t="s">
        <v>885</v>
      </c>
    </row>
    <row r="139" ht="15.75">
      <c r="A139" s="288" t="s">
        <v>886</v>
      </c>
    </row>
    <row r="141" ht="15.75">
      <c r="A141" s="284" t="s">
        <v>887</v>
      </c>
    </row>
    <row r="142" ht="15.75">
      <c r="A142" s="1" t="s">
        <v>888</v>
      </c>
    </row>
    <row r="143" ht="15.75">
      <c r="A143" s="1" t="s">
        <v>889</v>
      </c>
    </row>
    <row r="144" ht="15.75">
      <c r="A144" s="1" t="s">
        <v>890</v>
      </c>
    </row>
    <row r="146" ht="15.75">
      <c r="A146" s="284" t="s">
        <v>891</v>
      </c>
    </row>
    <row r="147" ht="15.75">
      <c r="A147" s="1" t="s">
        <v>218</v>
      </c>
    </row>
    <row r="148" ht="15.75">
      <c r="A148" s="1" t="s">
        <v>219</v>
      </c>
    </row>
    <row r="150" ht="15.75">
      <c r="A150" s="284" t="s">
        <v>216</v>
      </c>
    </row>
    <row r="151" ht="15.75" customHeight="1">
      <c r="A151" s="1" t="s">
        <v>200</v>
      </c>
    </row>
    <row r="152" ht="31.5">
      <c r="A152" s="2" t="s">
        <v>201</v>
      </c>
    </row>
    <row r="153" ht="15.75" customHeight="1">
      <c r="A153" s="1" t="s">
        <v>202</v>
      </c>
    </row>
    <row r="154" ht="15.75" customHeight="1">
      <c r="A154" s="1" t="s">
        <v>203</v>
      </c>
    </row>
    <row r="155" ht="15.75" customHeight="1">
      <c r="A155" s="1" t="s">
        <v>204</v>
      </c>
    </row>
    <row r="156" ht="15.75" customHeight="1">
      <c r="A156" s="1" t="s">
        <v>205</v>
      </c>
    </row>
    <row r="157" ht="33" customHeight="1">
      <c r="A157" s="2" t="s">
        <v>206</v>
      </c>
    </row>
    <row r="158" ht="34.5" customHeight="1">
      <c r="A158" s="2" t="s">
        <v>207</v>
      </c>
    </row>
    <row r="159" ht="33.75" customHeight="1">
      <c r="A159" s="2" t="s">
        <v>208</v>
      </c>
    </row>
    <row r="160" ht="15.75" customHeight="1">
      <c r="A160" s="2" t="s">
        <v>209</v>
      </c>
    </row>
    <row r="161" ht="15.75">
      <c r="A161" s="2" t="s">
        <v>210</v>
      </c>
    </row>
    <row r="162" ht="15.75">
      <c r="A162" s="1" t="s">
        <v>211</v>
      </c>
    </row>
    <row r="163" ht="15.75">
      <c r="A163" s="1" t="s">
        <v>212</v>
      </c>
    </row>
    <row r="164" ht="15.75">
      <c r="A164" s="1" t="s">
        <v>213</v>
      </c>
    </row>
    <row r="165" ht="15.75">
      <c r="A165" s="1" t="s">
        <v>214</v>
      </c>
    </row>
    <row r="166" ht="15.75">
      <c r="A166" s="1" t="s">
        <v>215</v>
      </c>
    </row>
    <row r="168" ht="15.75">
      <c r="A168" s="284" t="s">
        <v>892</v>
      </c>
    </row>
    <row r="169" ht="15.75">
      <c r="A169" s="1" t="s">
        <v>893</v>
      </c>
    </row>
    <row r="170" ht="15.75">
      <c r="A170" s="2" t="s">
        <v>894</v>
      </c>
    </row>
    <row r="171" ht="15.75">
      <c r="A171" s="1" t="s">
        <v>895</v>
      </c>
    </row>
    <row r="172" ht="15.75">
      <c r="A172" s="2" t="s">
        <v>896</v>
      </c>
    </row>
    <row r="174" ht="15.75">
      <c r="A174" s="284" t="s">
        <v>145</v>
      </c>
    </row>
    <row r="175" ht="15.75">
      <c r="A175" s="1" t="s">
        <v>897</v>
      </c>
    </row>
    <row r="176" ht="15.75">
      <c r="A176" s="1" t="s">
        <v>898</v>
      </c>
    </row>
    <row r="177" ht="15.75">
      <c r="A177" s="1" t="s">
        <v>899</v>
      </c>
    </row>
    <row r="178" ht="15.75">
      <c r="A178" s="1" t="s">
        <v>900</v>
      </c>
    </row>
    <row r="179" ht="15.75">
      <c r="A179" s="1" t="s">
        <v>901</v>
      </c>
    </row>
    <row r="180" ht="15.75">
      <c r="A180" s="1" t="s">
        <v>902</v>
      </c>
    </row>
    <row r="181" ht="15.75">
      <c r="A181" s="1" t="s">
        <v>903</v>
      </c>
    </row>
    <row r="182" ht="15.75">
      <c r="A182" s="2" t="s">
        <v>904</v>
      </c>
    </row>
    <row r="183" ht="15.75">
      <c r="A183" s="1" t="s">
        <v>905</v>
      </c>
    </row>
    <row r="184" ht="15.75">
      <c r="A184" s="2" t="s">
        <v>146</v>
      </c>
    </row>
    <row r="185" ht="15.75">
      <c r="A185" s="1" t="s">
        <v>906</v>
      </c>
    </row>
    <row r="186" ht="15.75">
      <c r="A186" s="1" t="s">
        <v>907</v>
      </c>
    </row>
    <row r="187" ht="15.75">
      <c r="A187" s="1" t="s">
        <v>908</v>
      </c>
    </row>
    <row r="188" ht="15.75">
      <c r="A188" s="1" t="s">
        <v>909</v>
      </c>
    </row>
    <row r="189" ht="15.75">
      <c r="A189" s="1" t="s">
        <v>910</v>
      </c>
    </row>
    <row r="190" ht="15.75">
      <c r="A190" s="2" t="s">
        <v>911</v>
      </c>
    </row>
    <row r="191" ht="15.75">
      <c r="A191" s="1" t="s">
        <v>912</v>
      </c>
    </row>
    <row r="192" ht="15.75">
      <c r="A192" s="1" t="s">
        <v>158</v>
      </c>
    </row>
    <row r="193" ht="15.75">
      <c r="A193" s="1" t="s">
        <v>159</v>
      </c>
    </row>
    <row r="194" ht="15.75">
      <c r="A194" s="1" t="s">
        <v>172</v>
      </c>
    </row>
    <row r="195" ht="15.75">
      <c r="A195" s="1" t="s">
        <v>173</v>
      </c>
    </row>
    <row r="196" ht="15.75">
      <c r="A196" s="1" t="s">
        <v>174</v>
      </c>
    </row>
    <row r="197" ht="15.75">
      <c r="A197" s="1" t="s">
        <v>161</v>
      </c>
    </row>
    <row r="198" ht="15.75">
      <c r="A198" s="2" t="s">
        <v>164</v>
      </c>
    </row>
    <row r="199" ht="15.75">
      <c r="A199" s="1" t="s">
        <v>165</v>
      </c>
    </row>
    <row r="200" ht="15.75">
      <c r="A200" s="2" t="s">
        <v>175</v>
      </c>
    </row>
    <row r="201" ht="15.75">
      <c r="A201" s="1" t="s">
        <v>176</v>
      </c>
    </row>
    <row r="202" ht="15.75">
      <c r="A202" s="2" t="s">
        <v>179</v>
      </c>
    </row>
    <row r="203" ht="15.75">
      <c r="A203" s="1" t="s">
        <v>180</v>
      </c>
    </row>
    <row r="204" ht="15.75">
      <c r="A204" s="1" t="s">
        <v>181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S52" sqref="S52"/>
    </sheetView>
  </sheetViews>
  <sheetFormatPr defaultColWidth="8.796875" defaultRowHeight="15"/>
  <cols>
    <col min="1" max="1" width="13.796875" style="0" customWidth="1"/>
    <col min="2" max="2" width="16.09765625" style="0" customWidth="1"/>
  </cols>
  <sheetData>
    <row r="1" ht="15">
      <c r="J1" s="540" t="s">
        <v>604</v>
      </c>
    </row>
    <row r="2" spans="1:10" ht="54" customHeight="1">
      <c r="A2" s="880" t="s">
        <v>252</v>
      </c>
      <c r="B2" s="881"/>
      <c r="C2" s="881"/>
      <c r="D2" s="881"/>
      <c r="E2" s="881"/>
      <c r="F2" s="881"/>
      <c r="J2" s="540" t="s">
        <v>605</v>
      </c>
    </row>
    <row r="3" spans="1:10" ht="15.75">
      <c r="A3" s="472" t="s">
        <v>601</v>
      </c>
      <c r="B3" s="687"/>
      <c r="J3" s="540" t="s">
        <v>606</v>
      </c>
    </row>
    <row r="4" spans="1:10" ht="15.75">
      <c r="A4" s="472"/>
      <c r="B4" s="538"/>
      <c r="J4" s="540" t="s">
        <v>607</v>
      </c>
    </row>
    <row r="5" spans="1:10" ht="15.75">
      <c r="A5" s="1" t="s">
        <v>602</v>
      </c>
      <c r="B5" s="687"/>
      <c r="J5" s="540" t="s">
        <v>608</v>
      </c>
    </row>
    <row r="6" spans="1:10" ht="15.75">
      <c r="A6" s="289"/>
      <c r="B6" s="289"/>
      <c r="C6" s="289"/>
      <c r="D6" s="290"/>
      <c r="E6" s="289"/>
      <c r="F6" s="289"/>
      <c r="J6" s="540" t="s">
        <v>609</v>
      </c>
    </row>
    <row r="7" spans="1:10" ht="15.75">
      <c r="A7" s="291" t="s">
        <v>253</v>
      </c>
      <c r="B7" s="687"/>
      <c r="C7" s="292"/>
      <c r="D7" s="291" t="s">
        <v>603</v>
      </c>
      <c r="E7" s="289"/>
      <c r="F7" s="289"/>
      <c r="J7" s="540" t="s">
        <v>610</v>
      </c>
    </row>
    <row r="8" spans="1:10" ht="15.75">
      <c r="A8" s="291"/>
      <c r="B8" s="293"/>
      <c r="C8" s="294"/>
      <c r="D8" s="539">
        <f>IF(B7="","",CONCATENATE("Latest date for notice to be published in your newspaper: ",I18," ",I22,", ",I23))</f>
      </c>
      <c r="E8" s="289"/>
      <c r="F8" s="289"/>
      <c r="J8" s="540" t="s">
        <v>611</v>
      </c>
    </row>
    <row r="9" spans="1:10" ht="15.75">
      <c r="A9" s="291" t="s">
        <v>254</v>
      </c>
      <c r="B9" s="687"/>
      <c r="C9" s="295"/>
      <c r="D9" s="291"/>
      <c r="E9" s="289"/>
      <c r="F9" s="289"/>
      <c r="J9" s="540" t="s">
        <v>612</v>
      </c>
    </row>
    <row r="10" spans="1:10" ht="15.75">
      <c r="A10" s="291"/>
      <c r="B10" s="291"/>
      <c r="C10" s="291"/>
      <c r="D10" s="291"/>
      <c r="E10" s="289"/>
      <c r="F10" s="289"/>
      <c r="J10" s="540" t="s">
        <v>613</v>
      </c>
    </row>
    <row r="11" spans="1:10" ht="15.75">
      <c r="A11" s="291" t="s">
        <v>255</v>
      </c>
      <c r="B11" s="688"/>
      <c r="C11" s="689"/>
      <c r="D11" s="689"/>
      <c r="E11" s="690"/>
      <c r="F11" s="289"/>
      <c r="J11" s="540" t="s">
        <v>614</v>
      </c>
    </row>
    <row r="12" spans="1:10" ht="15.75">
      <c r="A12" s="291"/>
      <c r="B12" s="291"/>
      <c r="C12" s="291"/>
      <c r="D12" s="291"/>
      <c r="E12" s="289"/>
      <c r="F12" s="289"/>
      <c r="J12" s="540" t="s">
        <v>615</v>
      </c>
    </row>
    <row r="13" spans="1:6" ht="15.75">
      <c r="A13" s="291"/>
      <c r="B13" s="291"/>
      <c r="C13" s="291"/>
      <c r="D13" s="291"/>
      <c r="E13" s="289"/>
      <c r="F13" s="289"/>
    </row>
    <row r="14" spans="1:6" ht="15.75">
      <c r="A14" s="291" t="s">
        <v>256</v>
      </c>
      <c r="B14" s="688"/>
      <c r="C14" s="689"/>
      <c r="D14" s="689"/>
      <c r="E14" s="690"/>
      <c r="F14" s="289"/>
    </row>
    <row r="17" spans="1:6" ht="15.75">
      <c r="A17" s="882" t="s">
        <v>257</v>
      </c>
      <c r="B17" s="882"/>
      <c r="C17" s="291"/>
      <c r="D17" s="291"/>
      <c r="E17" s="291"/>
      <c r="F17" s="289"/>
    </row>
    <row r="18" spans="1:9" ht="15.75">
      <c r="A18" s="291"/>
      <c r="B18" s="291"/>
      <c r="C18" s="291"/>
      <c r="D18" s="291"/>
      <c r="E18" s="291"/>
      <c r="F18" s="289"/>
      <c r="I18" s="540">
        <f ca="1">IF(B7="","",INDIRECT(I19))</f>
      </c>
    </row>
    <row r="19" spans="1:9" ht="15.75">
      <c r="A19" s="291" t="s">
        <v>253</v>
      </c>
      <c r="B19" s="293" t="s">
        <v>258</v>
      </c>
      <c r="C19" s="291"/>
      <c r="D19" s="291"/>
      <c r="E19" s="291"/>
      <c r="I19" s="541">
        <f>IF(B7="","",CONCATENATE("J",I21))</f>
      </c>
    </row>
    <row r="20" spans="1:9" ht="15.75">
      <c r="A20" s="291"/>
      <c r="B20" s="291"/>
      <c r="C20" s="291"/>
      <c r="D20" s="291"/>
      <c r="E20" s="291"/>
      <c r="I20" s="542">
        <f>B7-10</f>
        <v>-10</v>
      </c>
    </row>
    <row r="21" spans="1:9" ht="15.75">
      <c r="A21" s="291" t="s">
        <v>254</v>
      </c>
      <c r="B21" s="291" t="s">
        <v>259</v>
      </c>
      <c r="C21" s="291"/>
      <c r="D21" s="291"/>
      <c r="E21" s="291"/>
      <c r="I21" s="543">
        <f>IF(B7="","",MONTH(I20))</f>
      </c>
    </row>
    <row r="22" spans="1:9" ht="15.75">
      <c r="A22" s="291"/>
      <c r="B22" s="291"/>
      <c r="C22" s="291"/>
      <c r="D22" s="291"/>
      <c r="E22" s="291"/>
      <c r="I22" s="544">
        <f>IF(B7="","",DAY(I20))</f>
      </c>
    </row>
    <row r="23" spans="1:9" ht="15.75">
      <c r="A23" s="291" t="s">
        <v>255</v>
      </c>
      <c r="B23" s="291" t="s">
        <v>260</v>
      </c>
      <c r="C23" s="291"/>
      <c r="D23" s="291"/>
      <c r="E23" s="291"/>
      <c r="I23" s="545" t="e">
        <f>IF(D7="","",YEAR(I20))</f>
        <v>#NUM!</v>
      </c>
    </row>
    <row r="24" spans="1:5" ht="15.75">
      <c r="A24" s="291"/>
      <c r="B24" s="291"/>
      <c r="C24" s="291"/>
      <c r="D24" s="291"/>
      <c r="E24" s="291"/>
    </row>
    <row r="25" spans="1:5" ht="15.75">
      <c r="A25" s="291" t="s">
        <v>256</v>
      </c>
      <c r="B25" s="291" t="s">
        <v>261</v>
      </c>
      <c r="C25" s="291"/>
      <c r="D25" s="291"/>
      <c r="E25" s="29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77"/>
  <sheetViews>
    <sheetView zoomScalePageLayoutView="0" workbookViewId="0" topLeftCell="A1">
      <selection activeCell="T127" sqref="T127"/>
    </sheetView>
  </sheetViews>
  <sheetFormatPr defaultColWidth="8.796875" defaultRowHeight="15"/>
  <cols>
    <col min="1" max="1" width="13.59765625" style="5" customWidth="1"/>
    <col min="2" max="2" width="9.796875" style="5" customWidth="1"/>
    <col min="3" max="3" width="11.796875" style="5" customWidth="1"/>
    <col min="4" max="4" width="7.796875" style="5" customWidth="1"/>
    <col min="5" max="5" width="15.796875" style="5" customWidth="1"/>
    <col min="6" max="6" width="14.19921875" style="5" customWidth="1"/>
    <col min="7" max="7" width="10.796875" style="5" customWidth="1"/>
    <col min="8" max="8" width="2.69921875" style="5" customWidth="1"/>
    <col min="9" max="9" width="3.19921875" style="5" customWidth="1"/>
    <col min="10" max="16384" width="8.8984375" style="5" customWidth="1"/>
  </cols>
  <sheetData>
    <row r="1" spans="1:7" ht="15.75">
      <c r="A1" s="26"/>
      <c r="B1" s="26"/>
      <c r="C1" s="26"/>
      <c r="D1" s="26"/>
      <c r="E1" s="26"/>
      <c r="F1" s="883" t="s">
        <v>565</v>
      </c>
      <c r="G1" s="840"/>
    </row>
    <row r="2" spans="1:7" ht="15.75">
      <c r="A2" s="26"/>
      <c r="B2" s="26"/>
      <c r="C2" s="26"/>
      <c r="D2" s="26"/>
      <c r="E2" s="26"/>
      <c r="F2" s="883" t="s">
        <v>566</v>
      </c>
      <c r="G2" s="883"/>
    </row>
    <row r="3" spans="1:7" ht="15.75">
      <c r="A3" s="53"/>
      <c r="B3" s="53"/>
      <c r="C3" s="53"/>
      <c r="D3" s="53"/>
      <c r="E3" s="53"/>
      <c r="F3" s="53"/>
      <c r="G3" s="26">
        <f>inputPrYr!D22</f>
        <v>0</v>
      </c>
    </row>
    <row r="4" spans="1:7" ht="15.75">
      <c r="A4" s="885" t="s">
        <v>68</v>
      </c>
      <c r="B4" s="885"/>
      <c r="C4" s="885"/>
      <c r="D4" s="885"/>
      <c r="E4" s="885"/>
      <c r="F4" s="885"/>
      <c r="G4" s="885"/>
    </row>
    <row r="5" spans="1:7" ht="15.75">
      <c r="A5" s="19"/>
      <c r="B5" s="19"/>
      <c r="C5" s="19"/>
      <c r="D5" s="19"/>
      <c r="E5" s="19"/>
      <c r="F5" s="19"/>
      <c r="G5" s="26"/>
    </row>
    <row r="6" spans="1:7" ht="15.75">
      <c r="A6" s="888" t="str">
        <f>CONCATENATE("To the Clerk of ",inputPrYr!D4,", State of Kansas")</f>
        <v>To the Clerk of , State of Kansas</v>
      </c>
      <c r="B6" s="888"/>
      <c r="C6" s="888"/>
      <c r="D6" s="888"/>
      <c r="E6" s="888"/>
      <c r="F6" s="888"/>
      <c r="G6" s="888"/>
    </row>
    <row r="7" spans="1:7" ht="15.75">
      <c r="A7" s="101" t="s">
        <v>136</v>
      </c>
      <c r="B7" s="26"/>
      <c r="C7" s="26"/>
      <c r="D7" s="26"/>
      <c r="E7" s="26"/>
      <c r="F7" s="26"/>
      <c r="G7" s="26"/>
    </row>
    <row r="8" spans="1:7" ht="15.75">
      <c r="A8" s="829">
        <f>inputPrYr!D3</f>
        <v>0</v>
      </c>
      <c r="B8" s="829"/>
      <c r="C8" s="829"/>
      <c r="D8" s="829"/>
      <c r="E8" s="829"/>
      <c r="F8" s="829"/>
      <c r="G8" s="829"/>
    </row>
    <row r="9" spans="1:7" ht="15.75">
      <c r="A9" s="101" t="s">
        <v>8</v>
      </c>
      <c r="B9" s="26"/>
      <c r="C9" s="26"/>
      <c r="D9" s="26"/>
      <c r="E9" s="26"/>
      <c r="F9" s="26"/>
      <c r="G9" s="26"/>
    </row>
    <row r="10" spans="1:7" ht="15.75">
      <c r="A10" s="101" t="s">
        <v>9</v>
      </c>
      <c r="B10" s="26"/>
      <c r="C10" s="26"/>
      <c r="D10" s="26"/>
      <c r="E10" s="26"/>
      <c r="F10" s="26"/>
      <c r="G10" s="26"/>
    </row>
    <row r="11" spans="1:7" ht="15.75">
      <c r="A11" s="101" t="str">
        <f>CONCATENATE("as the maximum expenditures for the various funds for the year ",G3,"; and")</f>
        <v>as the maximum expenditures for the various funds for the year 0; and</v>
      </c>
      <c r="B11" s="26"/>
      <c r="C11" s="26"/>
      <c r="D11" s="26"/>
      <c r="E11" s="26"/>
      <c r="F11" s="26"/>
      <c r="G11" s="26"/>
    </row>
    <row r="12" spans="1:7" ht="15.75">
      <c r="A12" s="101" t="str">
        <f>CONCATENATE("(3) the Amount(s) of  ",G3-1," Ad Valorem Tax are within statutory limitations for the ",G3," Budget.")</f>
        <v>(3) the Amount(s) of  -1 Ad Valorem Tax are within statutory limitations for the 0 Budget.</v>
      </c>
      <c r="B12" s="26"/>
      <c r="C12" s="26"/>
      <c r="D12" s="26"/>
      <c r="E12" s="26"/>
      <c r="F12" s="26"/>
      <c r="G12" s="26"/>
    </row>
    <row r="13" spans="1:7" ht="15.75">
      <c r="A13" s="18"/>
      <c r="B13" s="19"/>
      <c r="C13" s="19"/>
      <c r="D13" s="103"/>
      <c r="E13" s="104"/>
      <c r="F13" s="104"/>
      <c r="G13" s="104"/>
    </row>
    <row r="14" spans="1:7" ht="15.75">
      <c r="A14" s="19"/>
      <c r="B14" s="19"/>
      <c r="C14" s="19"/>
      <c r="D14" s="19"/>
      <c r="E14" s="889" t="str">
        <f>CONCATENATE("",G3," Adopted Budget")</f>
        <v>0 Adopted Budget</v>
      </c>
      <c r="F14" s="861"/>
      <c r="G14" s="849"/>
    </row>
    <row r="15" spans="1:8" ht="15.75">
      <c r="A15" s="18"/>
      <c r="B15" s="19"/>
      <c r="C15" s="19"/>
      <c r="D15" s="37"/>
      <c r="E15" s="105" t="s">
        <v>10</v>
      </c>
      <c r="F15" s="886" t="str">
        <f>CONCATENATE("Amount of  ",G3-1," Ad Valorem Tax")</f>
        <v>Amount of  -1 Ad Valorem Tax</v>
      </c>
      <c r="G15" s="107" t="s">
        <v>11</v>
      </c>
      <c r="H15" s="108"/>
    </row>
    <row r="16" spans="1:7" ht="15.75">
      <c r="A16" s="19"/>
      <c r="B16" s="19"/>
      <c r="C16" s="19"/>
      <c r="D16" s="109" t="s">
        <v>12</v>
      </c>
      <c r="E16" s="84" t="s">
        <v>563</v>
      </c>
      <c r="F16" s="887"/>
      <c r="G16" s="110" t="s">
        <v>13</v>
      </c>
    </row>
    <row r="17" spans="1:7" ht="15.75">
      <c r="A17" s="20" t="s">
        <v>14</v>
      </c>
      <c r="B17" s="19"/>
      <c r="C17" s="19"/>
      <c r="D17" s="84" t="s">
        <v>15</v>
      </c>
      <c r="E17" s="84" t="s">
        <v>564</v>
      </c>
      <c r="F17" s="887"/>
      <c r="G17" s="110" t="s">
        <v>17</v>
      </c>
    </row>
    <row r="18" spans="1:7" ht="4.5" customHeight="1">
      <c r="A18" s="104"/>
      <c r="B18" s="104"/>
      <c r="C18" s="104"/>
      <c r="D18" s="111"/>
      <c r="E18" s="111"/>
      <c r="F18" s="112"/>
      <c r="G18" s="112"/>
    </row>
    <row r="19" spans="1:7" ht="15.75">
      <c r="A19" s="113" t="str">
        <f>CONCATENATE("Computation to Determine Limit for ",G3,"")</f>
        <v>Computation to Determine Limit for 0</v>
      </c>
      <c r="B19" s="104"/>
      <c r="C19" s="104"/>
      <c r="D19" s="114">
        <v>2</v>
      </c>
      <c r="E19" s="115"/>
      <c r="F19" s="115"/>
      <c r="G19" s="116"/>
    </row>
    <row r="20" spans="1:7" ht="15.75">
      <c r="A20" s="65" t="s">
        <v>592</v>
      </c>
      <c r="B20" s="104"/>
      <c r="C20" s="104"/>
      <c r="D20" s="86">
        <v>3</v>
      </c>
      <c r="E20" s="115"/>
      <c r="F20" s="115"/>
      <c r="G20" s="117"/>
    </row>
    <row r="21" spans="1:7" ht="15.75">
      <c r="A21" s="65" t="s">
        <v>115</v>
      </c>
      <c r="B21" s="104"/>
      <c r="C21" s="104"/>
      <c r="D21" s="86">
        <v>4</v>
      </c>
      <c r="E21" s="115"/>
      <c r="F21" s="115"/>
      <c r="G21" s="117"/>
    </row>
    <row r="22" spans="1:7" ht="15.75">
      <c r="A22" s="113" t="s">
        <v>114</v>
      </c>
      <c r="B22" s="104"/>
      <c r="C22" s="104"/>
      <c r="D22" s="86">
        <v>5</v>
      </c>
      <c r="E22" s="115"/>
      <c r="F22" s="115"/>
      <c r="G22" s="117"/>
    </row>
    <row r="23" spans="1:7" ht="15.75">
      <c r="A23" s="62" t="s">
        <v>676</v>
      </c>
      <c r="B23" s="104"/>
      <c r="C23" s="104"/>
      <c r="D23" s="86">
        <f>'Library Grant'!F40</f>
        <v>6</v>
      </c>
      <c r="E23" s="115"/>
      <c r="F23" s="115"/>
      <c r="G23" s="117"/>
    </row>
    <row r="24" spans="1:7" ht="15.75">
      <c r="A24" s="408" t="s">
        <v>18</v>
      </c>
      <c r="B24" s="51"/>
      <c r="C24" s="409" t="s">
        <v>19</v>
      </c>
      <c r="D24" s="114"/>
      <c r="E24" s="118"/>
      <c r="F24" s="37"/>
      <c r="G24" s="41"/>
    </row>
    <row r="25" spans="1:7" ht="15.75">
      <c r="A25" s="119" t="s">
        <v>4</v>
      </c>
      <c r="B25" s="51"/>
      <c r="C25" s="114" t="s">
        <v>740</v>
      </c>
      <c r="D25" s="120">
        <v>7</v>
      </c>
      <c r="E25" s="474" t="str">
        <f>IF(gen!$E$63&lt;&gt;0,gen!$E$63,"  ")</f>
        <v>  </v>
      </c>
      <c r="F25" s="474" t="str">
        <f>IF(gen!$E$70&lt;&gt;0,gen!$E$70,"  ")</f>
        <v>  </v>
      </c>
      <c r="G25" s="475" t="str">
        <f>IF(AND(gen!E70=0,$C$48&gt;=0)," ",IF(AND(F25&gt;0,$C$48=0)," ",IF(AND(F25&gt;0,$C$48&gt;0),ROUND(F25/$C$48*1000,3))))</f>
        <v> </v>
      </c>
    </row>
    <row r="26" spans="1:7" ht="15.75">
      <c r="A26" s="119" t="s">
        <v>220</v>
      </c>
      <c r="B26" s="51"/>
      <c r="C26" s="114" t="str">
        <f>inputPrYr!C36</f>
        <v>10-113</v>
      </c>
      <c r="D26" s="120">
        <f>IF('DebtSvs-EmployBenefit'!C87&gt;0,'DebtSvs-EmployBenefit'!C87,"")</f>
      </c>
      <c r="E26" s="220" t="str">
        <f>IF('DebtSvs-EmployBenefit'!E35&lt;&gt;0,'DebtSvs-EmployBenefit'!E35,"  ")</f>
        <v>  </v>
      </c>
      <c r="F26" s="220" t="str">
        <f>IF('DebtSvs-EmployBenefit'!E42&lt;&gt;0,'DebtSvs-EmployBenefit'!E42,"  ")</f>
        <v>  </v>
      </c>
      <c r="G26" s="476" t="str">
        <f>IF(AND('DebtSvs-EmployBenefit'!E42=0,$C$48&gt;=0)," ",IF(AND(F26&gt;0,$C$48=0)," ",IF(AND(F26&gt;0,$C$48&gt;0),ROUND(F26/$C$48*1000,3))))</f>
        <v> </v>
      </c>
    </row>
    <row r="27" spans="1:7" ht="15.75">
      <c r="A27" s="119" t="str">
        <f>inputPrYr!B37</f>
        <v>Employee Benefits</v>
      </c>
      <c r="B27" s="51"/>
      <c r="C27" s="114" t="str">
        <f>inputPrYr!C37</f>
        <v>12-16,102</v>
      </c>
      <c r="D27" s="120">
        <f>IF('DebtSvs-EmployBenefit'!C87&gt;0,'DebtSvs-EmployBenefit'!C87,"")</f>
      </c>
      <c r="E27" s="220" t="str">
        <f>IF('DebtSvs-EmployBenefit'!E77&lt;&gt;0,'DebtSvs-EmployBenefit'!E77,"  ")</f>
        <v>  </v>
      </c>
      <c r="F27" s="220" t="str">
        <f>IF('DebtSvs-EmployBenefit'!E84&lt;&gt;0,'DebtSvs-EmployBenefit'!E84,"  ")</f>
        <v>  </v>
      </c>
      <c r="G27" s="476" t="str">
        <f>IF(AND('DebtSvs-EmployBenefit'!E84=0,$C$48&gt;=0)," ",IF(AND(F27&gt;0,$C$48=0)," ",IF(AND(F27&gt;0,$C$48&gt;0),ROUND(F27/$C$48*1000,3))))</f>
        <v> </v>
      </c>
    </row>
    <row r="28" spans="1:7" ht="15.75">
      <c r="A28" s="123" t="str">
        <f>IF(inputPrYr!$B$39&gt;"  ",inputPrYr!$B$39,"  ")</f>
        <v>  </v>
      </c>
      <c r="B28" s="51"/>
      <c r="C28" s="114" t="str">
        <f>IF(inputPrYr!C39&gt;0,inputPrYr!C39,"  ")</f>
        <v>  </v>
      </c>
      <c r="D28" s="120" t="str">
        <f>IF(levypage9!C86&gt;0,levypage9!C86," ")</f>
        <v> </v>
      </c>
      <c r="E28" s="220" t="str">
        <f>IF(levypage9!$E$35&lt;&gt;0,levypage9!$E$35,"  ")</f>
        <v>  </v>
      </c>
      <c r="F28" s="220" t="str">
        <f>IF(levypage9!$E$42&lt;&gt;0,levypage9!$E$42,"  ")</f>
        <v>  </v>
      </c>
      <c r="G28" s="476" t="str">
        <f>IF(AND(levypage9!E42=0,$C$48&gt;=0)," ",IF(AND(F28&gt;0,$C$48=0)," ",IF(AND(F28&gt;0,$C$48&gt;0),ROUND(F28/$C$48*1000,3))))</f>
        <v> </v>
      </c>
    </row>
    <row r="29" spans="1:7" ht="15.75">
      <c r="A29" s="123" t="str">
        <f>IF(inputPrYr!$B$40&gt;"  ",inputPrYr!$B$40,"  ")</f>
        <v>  </v>
      </c>
      <c r="B29" s="51"/>
      <c r="C29" s="114" t="str">
        <f>IF(inputPrYr!C40&gt;0,inputPrYr!C40,"  ")</f>
        <v>  </v>
      </c>
      <c r="D29" s="120" t="str">
        <f>IF(levypage9!C86&gt;0,levypage9!C86," ")</f>
        <v> </v>
      </c>
      <c r="E29" s="220" t="str">
        <f>IF(levypage9!$E$77&lt;&gt;0,levypage9!$E$77,"  ")</f>
        <v>  </v>
      </c>
      <c r="F29" s="220" t="str">
        <f>IF(levypage9!$E$84&lt;&gt;0,levypage9!$E$84,"  ")</f>
        <v>  </v>
      </c>
      <c r="G29" s="476" t="str">
        <f>IF(AND(levypage9!E84=0,$C$48&gt;=0)," ",IF(AND(F29&gt;0,$C$48=0)," ",IF(AND(F29&gt;0,$C$48&gt;0),ROUND(F29/$C$48*1000,3))))</f>
        <v> </v>
      </c>
    </row>
    <row r="30" spans="1:7" ht="15.75">
      <c r="A30" s="123" t="str">
        <f>IF(inputPrYr!$B$43&gt;"  ",inputPrYr!$B$43,"  ")</f>
        <v>  </v>
      </c>
      <c r="B30" s="52"/>
      <c r="C30" s="124"/>
      <c r="D30" s="125" t="str">
        <f>IF(nolevypage10!C70&gt;0,nolevypage10!C70," ")</f>
        <v> </v>
      </c>
      <c r="E30" s="220" t="str">
        <f>IF(nolevypage10!$E$31&lt;&gt;0,nolevypage10!$E$31,"  ")</f>
        <v>  </v>
      </c>
      <c r="F30" s="477"/>
      <c r="G30" s="476"/>
    </row>
    <row r="31" spans="1:7" ht="15.75">
      <c r="A31" s="127" t="str">
        <f>IF(inputPrYr!$B$44&gt;"  ",inputPrYr!$B$44,"  ")</f>
        <v>  </v>
      </c>
      <c r="B31" s="128"/>
      <c r="C31" s="124"/>
      <c r="D31" s="125" t="str">
        <f>IF(nolevypage10!C70&gt;0,nolevypage10!C70," ")</f>
        <v> </v>
      </c>
      <c r="E31" s="220" t="str">
        <f>IF(nolevypage10!$E$64&lt;&gt;0,nolevypage10!$E$64,"  ")</f>
        <v>  </v>
      </c>
      <c r="F31" s="477"/>
      <c r="G31" s="476"/>
    </row>
    <row r="32" spans="1:7" ht="16.5" thickBot="1">
      <c r="A32" s="127">
        <f>IF((inputPrYr!$B$47&gt;" "),(NonBudpage11!$A$3),"")</f>
      </c>
      <c r="B32" s="128"/>
      <c r="C32" s="110"/>
      <c r="D32" s="120">
        <f>IF(NonBudpage11!F33&gt;0,NonBudpage11!F33,"")</f>
      </c>
      <c r="E32" s="478"/>
      <c r="F32" s="479"/>
      <c r="G32" s="480"/>
    </row>
    <row r="33" spans="1:7" ht="16.5" thickBot="1">
      <c r="A33" s="130" t="s">
        <v>112</v>
      </c>
      <c r="B33" s="52"/>
      <c r="C33" s="51"/>
      <c r="D33" s="131" t="s">
        <v>20</v>
      </c>
      <c r="E33" s="481">
        <f>SUM(E25:E31)</f>
        <v>0</v>
      </c>
      <c r="F33" s="482">
        <f>SUM(F25:F31)</f>
        <v>0</v>
      </c>
      <c r="G33" s="483">
        <f>IF(SUM(G25:G31)&gt;0,SUM(G25:G31),"")</f>
      </c>
    </row>
    <row r="34" spans="1:7" ht="16.5" thickTop="1">
      <c r="A34" s="119" t="s">
        <v>151</v>
      </c>
      <c r="B34" s="52"/>
      <c r="C34" s="51"/>
      <c r="D34" s="132">
        <f>summ!E46</f>
        <v>0</v>
      </c>
      <c r="E34" s="19"/>
      <c r="F34" s="19"/>
      <c r="G34" s="19"/>
    </row>
    <row r="35" spans="1:7" ht="15.75">
      <c r="A35" s="718" t="s">
        <v>169</v>
      </c>
      <c r="B35" s="128"/>
      <c r="C35" s="702"/>
      <c r="D35" s="699">
        <f>IF(Nhood!C36&gt;0,Nhood!C36,"")</f>
      </c>
      <c r="E35" s="897" t="s">
        <v>777</v>
      </c>
      <c r="F35" s="898"/>
      <c r="G35" s="786" t="str">
        <f>IF(F33&gt;1000,IF(F33&gt;computation!J41,"Yes","No"),"No")</f>
        <v>No</v>
      </c>
    </row>
    <row r="36" spans="1:7" ht="15.75">
      <c r="A36" s="717"/>
      <c r="B36" s="128"/>
      <c r="C36" s="128"/>
      <c r="D36" s="698"/>
      <c r="E36" s="133"/>
      <c r="F36" s="134"/>
      <c r="G36" s="18"/>
    </row>
    <row r="37" spans="1:7" ht="15.75">
      <c r="A37" s="21"/>
      <c r="B37" s="22"/>
      <c r="C37" s="19"/>
      <c r="D37" s="135"/>
      <c r="E37" s="133"/>
      <c r="F37" s="134"/>
      <c r="G37" s="18"/>
    </row>
    <row r="38" spans="1:7" ht="15.75">
      <c r="A38" s="890" t="str">
        <f>CONCATENATE("County Clerk's use only for November 1,",G3-1," - Final Assessed Valuation:")</f>
        <v>County Clerk's use only for November 1,-1 - Final Assessed Valuation:</v>
      </c>
      <c r="B38" s="891"/>
      <c r="C38" s="891"/>
      <c r="D38" s="891"/>
      <c r="E38" s="891"/>
      <c r="F38" s="892"/>
      <c r="G38" s="19"/>
    </row>
    <row r="39" spans="1:7" ht="15.75">
      <c r="A39" s="889" t="s">
        <v>153</v>
      </c>
      <c r="B39" s="893"/>
      <c r="C39" s="136" t="s">
        <v>45</v>
      </c>
      <c r="D39" s="894" t="s">
        <v>153</v>
      </c>
      <c r="E39" s="895"/>
      <c r="F39" s="136" t="s">
        <v>45</v>
      </c>
      <c r="G39" s="19"/>
    </row>
    <row r="40" spans="1:7" ht="15.75">
      <c r="A40" s="138">
        <f>inputPrYr!D4</f>
        <v>0</v>
      </c>
      <c r="B40" s="41"/>
      <c r="C40" s="50"/>
      <c r="D40" s="119">
        <f>inputPrYr!D13</f>
        <v>0</v>
      </c>
      <c r="E40" s="139"/>
      <c r="F40" s="50"/>
      <c r="G40" s="19"/>
    </row>
    <row r="41" spans="1:7" ht="15.75">
      <c r="A41" s="119">
        <f>inputPrYr!D6</f>
        <v>0</v>
      </c>
      <c r="B41" s="51"/>
      <c r="C41" s="50"/>
      <c r="D41" s="119">
        <f>inputPrYr!D14</f>
        <v>0</v>
      </c>
      <c r="E41" s="139"/>
      <c r="F41" s="50"/>
      <c r="G41" s="19"/>
    </row>
    <row r="42" spans="1:7" ht="15.75">
      <c r="A42" s="119">
        <f>inputPrYr!D7</f>
        <v>0</v>
      </c>
      <c r="B42" s="51"/>
      <c r="C42" s="50"/>
      <c r="D42" s="119">
        <f>inputPrYr!D15</f>
        <v>0</v>
      </c>
      <c r="E42" s="139"/>
      <c r="F42" s="50"/>
      <c r="G42" s="19"/>
    </row>
    <row r="43" spans="1:7" ht="15.75">
      <c r="A43" s="119">
        <f>inputPrYr!D8</f>
        <v>0</v>
      </c>
      <c r="B43" s="51"/>
      <c r="C43" s="50"/>
      <c r="D43" s="119">
        <f>inputPrYr!D16</f>
        <v>0</v>
      </c>
      <c r="E43" s="139"/>
      <c r="F43" s="50"/>
      <c r="G43" s="19"/>
    </row>
    <row r="44" spans="1:7" ht="15.75">
      <c r="A44" s="119">
        <f>inputPrYr!D9</f>
        <v>0</v>
      </c>
      <c r="B44" s="51"/>
      <c r="C44" s="50"/>
      <c r="D44" s="119">
        <f>inputPrYr!D17</f>
        <v>0</v>
      </c>
      <c r="E44" s="139"/>
      <c r="F44" s="50"/>
      <c r="G44" s="19"/>
    </row>
    <row r="45" spans="1:7" ht="15.75">
      <c r="A45" s="119">
        <f>inputPrYr!D10</f>
        <v>0</v>
      </c>
      <c r="B45" s="51"/>
      <c r="C45" s="50"/>
      <c r="D45" s="119">
        <f>inputPrYr!D18</f>
        <v>0</v>
      </c>
      <c r="E45" s="139"/>
      <c r="F45" s="50"/>
      <c r="G45" s="19"/>
    </row>
    <row r="46" spans="1:7" ht="15.75">
      <c r="A46" s="119">
        <f>inputPrYr!D11</f>
        <v>0</v>
      </c>
      <c r="B46" s="51"/>
      <c r="C46" s="50"/>
      <c r="D46" s="119">
        <f>inputPrYr!D19</f>
        <v>0</v>
      </c>
      <c r="E46" s="139"/>
      <c r="F46" s="50"/>
      <c r="G46" s="19"/>
    </row>
    <row r="47" spans="1:7" ht="15.75">
      <c r="A47" s="119">
        <f>inputPrYr!D12</f>
        <v>0</v>
      </c>
      <c r="B47" s="51"/>
      <c r="C47" s="50"/>
      <c r="D47" s="119">
        <f>inputPrYr!D20</f>
        <v>0</v>
      </c>
      <c r="E47" s="139"/>
      <c r="F47" s="50"/>
      <c r="G47" s="19"/>
    </row>
    <row r="48" spans="1:7" ht="15.75">
      <c r="A48" s="140" t="s">
        <v>119</v>
      </c>
      <c r="B48" s="141"/>
      <c r="C48" s="142">
        <f>SUM(C40:C47,F40:F47)</f>
        <v>0</v>
      </c>
      <c r="D48" s="19"/>
      <c r="E48" s="143"/>
      <c r="F48" s="19"/>
      <c r="G48" s="19"/>
    </row>
    <row r="49" spans="1:7" ht="15.75">
      <c r="A49" s="19"/>
      <c r="B49" s="19"/>
      <c r="C49" s="22"/>
      <c r="D49" s="19"/>
      <c r="E49" s="144"/>
      <c r="F49" s="19"/>
      <c r="G49" s="19"/>
    </row>
    <row r="50" spans="1:7" ht="15.75">
      <c r="A50" s="19" t="s">
        <v>250</v>
      </c>
      <c r="B50" s="19"/>
      <c r="C50" s="22"/>
      <c r="D50" s="19"/>
      <c r="E50" s="144"/>
      <c r="F50" s="19"/>
      <c r="G50" s="19"/>
    </row>
    <row r="51" spans="1:7" ht="15.75">
      <c r="A51" s="145"/>
      <c r="B51" s="145"/>
      <c r="C51" s="22"/>
      <c r="D51" s="22" t="s">
        <v>591</v>
      </c>
      <c r="E51" s="453"/>
      <c r="F51" s="22"/>
      <c r="G51" s="22"/>
    </row>
    <row r="52" spans="1:7" ht="15.75">
      <c r="A52" s="23"/>
      <c r="B52" s="23"/>
      <c r="C52" s="18"/>
      <c r="D52" s="21"/>
      <c r="E52" s="22"/>
      <c r="F52" s="22"/>
      <c r="G52" s="22"/>
    </row>
    <row r="53" spans="1:7" ht="15.75">
      <c r="A53" s="21" t="s">
        <v>251</v>
      </c>
      <c r="B53" s="22"/>
      <c r="C53" s="22"/>
      <c r="D53" s="22" t="s">
        <v>591</v>
      </c>
      <c r="E53" s="22"/>
      <c r="F53" s="115"/>
      <c r="G53" s="115"/>
    </row>
    <row r="54" spans="1:7" ht="15.75">
      <c r="A54" s="145"/>
      <c r="B54" s="145"/>
      <c r="C54" s="18"/>
      <c r="D54" s="22"/>
      <c r="E54" s="22"/>
      <c r="F54" s="484"/>
      <c r="G54" s="484"/>
    </row>
    <row r="55" spans="1:7" ht="15.75">
      <c r="A55" s="23"/>
      <c r="B55" s="23"/>
      <c r="C55" s="22"/>
      <c r="D55" s="22" t="s">
        <v>591</v>
      </c>
      <c r="E55" s="22"/>
      <c r="F55" s="485"/>
      <c r="G55" s="485"/>
    </row>
    <row r="56" spans="1:7" ht="15.75">
      <c r="A56" s="23"/>
      <c r="B56" s="23"/>
      <c r="C56" s="22"/>
      <c r="D56" s="22"/>
      <c r="E56" s="22"/>
      <c r="F56" s="484"/>
      <c r="G56" s="484"/>
    </row>
    <row r="57" spans="1:7" ht="15.75">
      <c r="A57" s="19" t="s">
        <v>590</v>
      </c>
      <c r="B57" s="19"/>
      <c r="C57" s="19"/>
      <c r="D57" s="22" t="s">
        <v>591</v>
      </c>
      <c r="E57" s="22"/>
      <c r="F57" s="485"/>
      <c r="G57" s="485"/>
    </row>
    <row r="58" spans="1:7" ht="15.75">
      <c r="A58" s="145"/>
      <c r="B58" s="145"/>
      <c r="C58" s="19"/>
      <c r="D58" s="22"/>
      <c r="E58" s="22"/>
      <c r="F58" s="486"/>
      <c r="G58" s="486"/>
    </row>
    <row r="59" spans="1:7" ht="15.75">
      <c r="A59" s="19"/>
      <c r="B59" s="19"/>
      <c r="C59" s="19"/>
      <c r="D59" s="22" t="s">
        <v>591</v>
      </c>
      <c r="E59" s="22"/>
      <c r="F59" s="22"/>
      <c r="G59" s="22"/>
    </row>
    <row r="60" spans="1:7" ht="15.75">
      <c r="A60" s="22"/>
      <c r="B60" s="22"/>
      <c r="C60" s="19"/>
      <c r="D60" s="22"/>
      <c r="E60" s="22"/>
      <c r="F60" s="22"/>
      <c r="G60" s="22"/>
    </row>
    <row r="61" spans="1:7" ht="15.75">
      <c r="A61" s="18" t="s">
        <v>137</v>
      </c>
      <c r="B61" s="22"/>
      <c r="C61" s="18">
        <f>G3-1</f>
        <v>-1</v>
      </c>
      <c r="D61" s="22" t="s">
        <v>591</v>
      </c>
      <c r="E61" s="22"/>
      <c r="F61" s="22"/>
      <c r="G61" s="22"/>
    </row>
    <row r="62" spans="1:7" ht="15.75">
      <c r="A62" s="22"/>
      <c r="B62" s="22"/>
      <c r="C62" s="19"/>
      <c r="D62" s="22"/>
      <c r="E62" s="22"/>
      <c r="F62" s="22"/>
      <c r="G62" s="22"/>
    </row>
    <row r="63" spans="1:7" ht="15.75">
      <c r="A63" s="899"/>
      <c r="B63" s="899"/>
      <c r="C63" s="19"/>
      <c r="D63" s="22" t="s">
        <v>591</v>
      </c>
      <c r="E63" s="22"/>
      <c r="F63" s="22"/>
      <c r="G63" s="22"/>
    </row>
    <row r="64" spans="1:7" ht="15.75">
      <c r="A64" s="26" t="s">
        <v>22</v>
      </c>
      <c r="B64" s="26"/>
      <c r="C64" s="19"/>
      <c r="D64" s="896" t="s">
        <v>21</v>
      </c>
      <c r="E64" s="840"/>
      <c r="F64" s="840"/>
      <c r="G64" s="840"/>
    </row>
    <row r="65" spans="1:7" ht="15.75">
      <c r="A65" s="17"/>
      <c r="B65" s="17"/>
      <c r="C65" s="17"/>
      <c r="D65" s="17"/>
      <c r="E65" s="17"/>
      <c r="F65" s="17"/>
      <c r="G65" s="884"/>
    </row>
    <row r="66" spans="1:7" ht="15.75">
      <c r="A66" s="17"/>
      <c r="B66" s="17"/>
      <c r="C66" s="17"/>
      <c r="D66" s="17"/>
      <c r="E66" s="17"/>
      <c r="F66" s="17"/>
      <c r="G66" s="884"/>
    </row>
    <row r="67" spans="1:7" ht="15.75">
      <c r="A67" s="17"/>
      <c r="B67" s="17"/>
      <c r="C67" s="17"/>
      <c r="D67" s="17"/>
      <c r="E67" s="17"/>
      <c r="F67" s="17"/>
      <c r="G67" s="884"/>
    </row>
    <row r="68" spans="1:7" ht="15.75">
      <c r="A68" s="17"/>
      <c r="B68" s="17"/>
      <c r="C68" s="17"/>
      <c r="D68" s="17"/>
      <c r="E68" s="17"/>
      <c r="F68" s="17"/>
      <c r="G68" s="884"/>
    </row>
    <row r="69" spans="1:7" ht="15.75">
      <c r="A69" s="17"/>
      <c r="B69" s="17"/>
      <c r="C69" s="17"/>
      <c r="D69" s="146"/>
      <c r="E69" s="17"/>
      <c r="F69" s="17"/>
      <c r="G69" s="884"/>
    </row>
    <row r="70" ht="15.75">
      <c r="G70" s="884"/>
    </row>
    <row r="71" ht="15.75">
      <c r="G71" s="884"/>
    </row>
    <row r="72" ht="15.75">
      <c r="G72" s="884"/>
    </row>
    <row r="73" ht="15.75">
      <c r="G73" s="884"/>
    </row>
    <row r="74" ht="15.75">
      <c r="G74" s="884"/>
    </row>
    <row r="75" ht="15.75">
      <c r="G75" s="884"/>
    </row>
    <row r="76" ht="15.75">
      <c r="G76" s="884"/>
    </row>
    <row r="77" ht="15.75">
      <c r="G77" s="884"/>
    </row>
  </sheetData>
  <sheetProtection sheet="1"/>
  <mergeCells count="14">
    <mergeCell ref="D39:E39"/>
    <mergeCell ref="D64:G64"/>
    <mergeCell ref="E35:F35"/>
    <mergeCell ref="A63:B63"/>
    <mergeCell ref="F1:G1"/>
    <mergeCell ref="F2:G2"/>
    <mergeCell ref="G65:G77"/>
    <mergeCell ref="A4:G4"/>
    <mergeCell ref="F15:F17"/>
    <mergeCell ref="A6:G6"/>
    <mergeCell ref="A8:G8"/>
    <mergeCell ref="E14:G14"/>
    <mergeCell ref="A38:F38"/>
    <mergeCell ref="A39:B39"/>
  </mergeCells>
  <printOptions/>
  <pageMargins left="1.5" right="0.66" top="0.3" bottom="0.75" header="0.5" footer="0.3"/>
  <pageSetup blackAndWhite="1" fitToHeight="1" fitToWidth="1" horizontalDpi="120" verticalDpi="120" orientation="portrait" scale="68" r:id="rId1"/>
  <headerFooter alignWithMargins="0">
    <oddHeader>&amp;R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1">
      <selection activeCell="AI36" sqref="AI36"/>
    </sheetView>
  </sheetViews>
  <sheetFormatPr defaultColWidth="8.796875" defaultRowHeight="15.75" customHeight="1"/>
  <cols>
    <col min="1" max="2" width="3.296875" style="9" customWidth="1"/>
    <col min="3" max="3" width="31.296875" style="9" customWidth="1"/>
    <col min="4" max="4" width="2.296875" style="9" customWidth="1"/>
    <col min="5" max="5" width="15.796875" style="9" customWidth="1"/>
    <col min="6" max="6" width="2" style="9" customWidth="1"/>
    <col min="7" max="7" width="15.796875" style="9" customWidth="1"/>
    <col min="8" max="8" width="1.8984375" style="9" customWidth="1"/>
    <col min="9" max="9" width="1.796875" style="9" customWidth="1"/>
    <col min="10" max="10" width="15.796875" style="9" customWidth="1"/>
    <col min="11" max="16384" width="8.8984375" style="9" customWidth="1"/>
  </cols>
  <sheetData>
    <row r="1" spans="1:10" ht="15.75" customHeight="1">
      <c r="A1" s="19"/>
      <c r="B1" s="19"/>
      <c r="C1" s="19">
        <f>inputPrYr!D3</f>
        <v>0</v>
      </c>
      <c r="D1" s="19"/>
      <c r="E1" s="19"/>
      <c r="F1" s="19"/>
      <c r="G1" s="19"/>
      <c r="H1" s="19"/>
      <c r="I1" s="19"/>
      <c r="J1" s="19">
        <f>inputPrYr!D22</f>
        <v>0</v>
      </c>
    </row>
    <row r="2" spans="1:10" ht="15.75" customHeight="1">
      <c r="A2" s="19"/>
      <c r="B2" s="19"/>
      <c r="C2" s="19">
        <f>inputPrYr!D4</f>
        <v>0</v>
      </c>
      <c r="D2" s="19"/>
      <c r="E2" s="19"/>
      <c r="F2" s="19"/>
      <c r="G2" s="19"/>
      <c r="H2" s="19"/>
      <c r="I2" s="19"/>
      <c r="J2" s="19"/>
    </row>
    <row r="3" spans="1:10" ht="15.75">
      <c r="A3" s="900" t="str">
        <f>CONCATENATE("Computation to Determine Limit for ",J1,"")</f>
        <v>Computation to Determine Limit for 0</v>
      </c>
      <c r="B3" s="885"/>
      <c r="C3" s="885"/>
      <c r="D3" s="885"/>
      <c r="E3" s="885"/>
      <c r="F3" s="885"/>
      <c r="G3" s="885"/>
      <c r="H3" s="885"/>
      <c r="I3" s="885"/>
      <c r="J3" s="885"/>
    </row>
    <row r="4" spans="1:10" ht="15.75">
      <c r="A4" s="19"/>
      <c r="B4" s="19"/>
      <c r="C4" s="19"/>
      <c r="D4" s="19"/>
      <c r="E4" s="885"/>
      <c r="F4" s="885"/>
      <c r="G4" s="885"/>
      <c r="H4" s="100"/>
      <c r="I4" s="19"/>
      <c r="J4" s="147" t="s">
        <v>78</v>
      </c>
    </row>
    <row r="5" spans="1:10" ht="15.75">
      <c r="A5" s="148" t="s">
        <v>79</v>
      </c>
      <c r="B5" s="19" t="str">
        <f>CONCATENATE("Total tax levy amount in ",J1-1," budget")</f>
        <v>Total tax levy amount in -1 budget</v>
      </c>
      <c r="C5" s="19"/>
      <c r="D5" s="19"/>
      <c r="E5" s="34"/>
      <c r="F5" s="34"/>
      <c r="G5" s="34"/>
      <c r="H5" s="149" t="s">
        <v>80</v>
      </c>
      <c r="I5" s="34" t="s">
        <v>81</v>
      </c>
      <c r="J5" s="281">
        <f>inputPrYr!E41</f>
        <v>0</v>
      </c>
    </row>
    <row r="6" spans="1:10" ht="15.75">
      <c r="A6" s="148" t="s">
        <v>82</v>
      </c>
      <c r="B6" s="19" t="str">
        <f>CONCATENATE("Debt service levy in ",J1-1," budget")</f>
        <v>Debt service levy in -1 budget</v>
      </c>
      <c r="C6" s="19"/>
      <c r="D6" s="19"/>
      <c r="E6" s="34"/>
      <c r="F6" s="34"/>
      <c r="G6" s="34"/>
      <c r="H6" s="149" t="s">
        <v>83</v>
      </c>
      <c r="I6" s="34" t="s">
        <v>81</v>
      </c>
      <c r="J6" s="282">
        <f>inputPrYr!D36</f>
        <v>0</v>
      </c>
    </row>
    <row r="7" spans="1:10" ht="15.75">
      <c r="A7" s="148" t="s">
        <v>101</v>
      </c>
      <c r="B7" s="19" t="s">
        <v>723</v>
      </c>
      <c r="C7" s="19"/>
      <c r="D7" s="19"/>
      <c r="E7" s="34"/>
      <c r="F7" s="34"/>
      <c r="G7" s="34"/>
      <c r="H7" s="34"/>
      <c r="I7" s="34" t="s">
        <v>81</v>
      </c>
      <c r="J7" s="150">
        <f>J5-J6</f>
        <v>0</v>
      </c>
    </row>
    <row r="8" spans="1:10" ht="15.75">
      <c r="A8" s="19"/>
      <c r="B8" s="19"/>
      <c r="C8" s="19"/>
      <c r="D8" s="19"/>
      <c r="E8" s="34"/>
      <c r="F8" s="34"/>
      <c r="G8" s="34"/>
      <c r="H8" s="34"/>
      <c r="I8" s="34"/>
      <c r="J8" s="34"/>
    </row>
    <row r="9" spans="1:10" ht="15.75">
      <c r="A9" s="885" t="str">
        <f>CONCATENATE("",J1-1," Valuation Information for Valuation Adjustments")</f>
        <v>-1 Valuation Information for Valuation Adjustments</v>
      </c>
      <c r="B9" s="904"/>
      <c r="C9" s="904"/>
      <c r="D9" s="904"/>
      <c r="E9" s="904"/>
      <c r="F9" s="904"/>
      <c r="G9" s="904"/>
      <c r="H9" s="904"/>
      <c r="I9" s="904"/>
      <c r="J9" s="904"/>
    </row>
    <row r="10" spans="1:10" ht="15.75">
      <c r="A10" s="19"/>
      <c r="B10" s="19"/>
      <c r="C10" s="19"/>
      <c r="D10" s="19"/>
      <c r="E10" s="34"/>
      <c r="F10" s="34"/>
      <c r="G10" s="34"/>
      <c r="H10" s="34"/>
      <c r="I10" s="34"/>
      <c r="J10" s="34"/>
    </row>
    <row r="11" spans="1:10" ht="15.75">
      <c r="A11" s="148" t="s">
        <v>84</v>
      </c>
      <c r="B11" s="19" t="str">
        <f>CONCATENATE("New improvements for ",J1-1,":")</f>
        <v>New improvements for -1:</v>
      </c>
      <c r="C11" s="19"/>
      <c r="D11" s="19"/>
      <c r="E11" s="149"/>
      <c r="F11" s="149" t="s">
        <v>80</v>
      </c>
      <c r="G11" s="703">
        <f>inputOth!D26</f>
        <v>0</v>
      </c>
      <c r="H11" s="72"/>
      <c r="I11" s="34"/>
      <c r="J11" s="34"/>
    </row>
    <row r="12" spans="1:10" ht="15.75">
      <c r="A12" s="148"/>
      <c r="B12" s="148"/>
      <c r="C12" s="19"/>
      <c r="D12" s="19"/>
      <c r="E12" s="149"/>
      <c r="F12" s="149"/>
      <c r="G12" s="72"/>
      <c r="H12" s="72"/>
      <c r="I12" s="34"/>
      <c r="J12" s="34"/>
    </row>
    <row r="13" spans="1:10" ht="15.75">
      <c r="A13" s="148" t="s">
        <v>85</v>
      </c>
      <c r="B13" s="19" t="str">
        <f>CONCATENATE("Increase in personal property for ",J1-1,":")</f>
        <v>Increase in personal property for -1:</v>
      </c>
      <c r="C13" s="19"/>
      <c r="D13" s="19"/>
      <c r="E13" s="149"/>
      <c r="F13" s="149"/>
      <c r="G13" s="72"/>
      <c r="H13" s="72"/>
      <c r="I13" s="34"/>
      <c r="J13" s="34"/>
    </row>
    <row r="14" spans="1:10" ht="15.75">
      <c r="A14" s="19"/>
      <c r="B14" s="19" t="s">
        <v>86</v>
      </c>
      <c r="C14" s="19" t="str">
        <f>CONCATENATE("Personal property ",J1-1,"")</f>
        <v>Personal property -1</v>
      </c>
      <c r="D14" s="148" t="s">
        <v>80</v>
      </c>
      <c r="E14" s="703">
        <f>inputOth!E26</f>
        <v>0</v>
      </c>
      <c r="F14" s="149"/>
      <c r="G14" s="34"/>
      <c r="H14" s="34"/>
      <c r="I14" s="72"/>
      <c r="J14" s="34"/>
    </row>
    <row r="15" spans="1:10" ht="15.75">
      <c r="A15" s="148"/>
      <c r="B15" s="19" t="s">
        <v>87</v>
      </c>
      <c r="C15" s="19" t="str">
        <f>CONCATENATE("Personal property ",J1-2,"")</f>
        <v>Personal property -2</v>
      </c>
      <c r="D15" s="148" t="s">
        <v>83</v>
      </c>
      <c r="E15" s="150">
        <f>inputOth!G26</f>
        <v>0</v>
      </c>
      <c r="F15" s="149"/>
      <c r="G15" s="72"/>
      <c r="H15" s="72"/>
      <c r="I15" s="34"/>
      <c r="J15" s="34"/>
    </row>
    <row r="16" spans="1:10" ht="15.75">
      <c r="A16" s="148"/>
      <c r="B16" s="19" t="s">
        <v>88</v>
      </c>
      <c r="C16" s="19" t="s">
        <v>724</v>
      </c>
      <c r="D16" s="19"/>
      <c r="E16" s="34"/>
      <c r="F16" s="34" t="s">
        <v>80</v>
      </c>
      <c r="G16" s="703">
        <f>IF(E14&gt;E15,E14-E15,0)</f>
        <v>0</v>
      </c>
      <c r="H16" s="72"/>
      <c r="I16" s="34"/>
      <c r="J16" s="34"/>
    </row>
    <row r="17" spans="1:10" ht="15.75">
      <c r="A17" s="148"/>
      <c r="B17" s="148"/>
      <c r="C17" s="19"/>
      <c r="D17" s="19"/>
      <c r="E17" s="34"/>
      <c r="F17" s="34"/>
      <c r="G17" s="72" t="s">
        <v>96</v>
      </c>
      <c r="H17" s="72"/>
      <c r="I17" s="34"/>
      <c r="J17" s="34"/>
    </row>
    <row r="18" spans="1:10" ht="15.75">
      <c r="A18" s="148" t="s">
        <v>89</v>
      </c>
      <c r="B18" s="19" t="str">
        <f>CONCATENATE("Valuation of property that has changed in use during ",J1-1,":")</f>
        <v>Valuation of property that has changed in use during -1:</v>
      </c>
      <c r="C18" s="19"/>
      <c r="D18" s="148"/>
      <c r="E18" s="34"/>
      <c r="F18" s="34"/>
      <c r="G18" s="34">
        <f>inputOth!F26</f>
        <v>0</v>
      </c>
      <c r="H18" s="34"/>
      <c r="I18" s="34"/>
      <c r="J18" s="34"/>
    </row>
    <row r="19" spans="1:10" ht="15.75">
      <c r="A19" s="19" t="s">
        <v>10</v>
      </c>
      <c r="B19" s="19"/>
      <c r="C19" s="19"/>
      <c r="D19" s="19"/>
      <c r="E19" s="72"/>
      <c r="F19" s="34"/>
      <c r="G19" s="704"/>
      <c r="H19" s="72"/>
      <c r="I19" s="34"/>
      <c r="J19" s="34"/>
    </row>
    <row r="20" spans="1:10" ht="15.75">
      <c r="A20" s="148" t="s">
        <v>90</v>
      </c>
      <c r="B20" s="19" t="s">
        <v>725</v>
      </c>
      <c r="C20" s="19"/>
      <c r="D20" s="148"/>
      <c r="E20" s="34"/>
      <c r="F20" s="34"/>
      <c r="G20" s="703">
        <f>G11+G16+G18</f>
        <v>0</v>
      </c>
      <c r="H20" s="72"/>
      <c r="I20" s="34"/>
      <c r="J20" s="34"/>
    </row>
    <row r="21" spans="1:10" ht="15.75">
      <c r="A21" s="148"/>
      <c r="B21" s="148"/>
      <c r="C21" s="19"/>
      <c r="D21" s="19"/>
      <c r="E21" s="34"/>
      <c r="F21" s="34"/>
      <c r="G21" s="72"/>
      <c r="H21" s="72"/>
      <c r="I21" s="34"/>
      <c r="J21" s="34"/>
    </row>
    <row r="22" spans="1:10" ht="15.75">
      <c r="A22" s="148" t="s">
        <v>91</v>
      </c>
      <c r="B22" s="19" t="str">
        <f>CONCATENATE("Total estimated valuation July, 1,",J1-1,"")</f>
        <v>Total estimated valuation July, 1,-1</v>
      </c>
      <c r="C22" s="19"/>
      <c r="D22" s="19"/>
      <c r="E22" s="703">
        <f>inputOth!C26</f>
        <v>0</v>
      </c>
      <c r="F22" s="34"/>
      <c r="G22" s="34"/>
      <c r="H22" s="34"/>
      <c r="I22" s="149"/>
      <c r="J22" s="34"/>
    </row>
    <row r="23" spans="1:10" ht="15.75">
      <c r="A23" s="148"/>
      <c r="B23" s="148"/>
      <c r="C23" s="19"/>
      <c r="D23" s="19"/>
      <c r="E23" s="72"/>
      <c r="F23" s="34"/>
      <c r="G23" s="34"/>
      <c r="H23" s="34"/>
      <c r="I23" s="149"/>
      <c r="J23" s="34"/>
    </row>
    <row r="24" spans="1:10" ht="15.75">
      <c r="A24" s="148" t="s">
        <v>92</v>
      </c>
      <c r="B24" s="19" t="s">
        <v>726</v>
      </c>
      <c r="C24" s="19"/>
      <c r="D24" s="19"/>
      <c r="E24" s="34"/>
      <c r="F24" s="34"/>
      <c r="G24" s="703">
        <f>E22-G20</f>
        <v>0</v>
      </c>
      <c r="H24" s="72"/>
      <c r="I24" s="149"/>
      <c r="J24" s="34"/>
    </row>
    <row r="25" spans="1:10" ht="15.75">
      <c r="A25" s="148"/>
      <c r="B25" s="148"/>
      <c r="C25" s="19"/>
      <c r="D25" s="19"/>
      <c r="E25" s="34"/>
      <c r="F25" s="34"/>
      <c r="G25" s="704"/>
      <c r="H25" s="72"/>
      <c r="I25" s="149"/>
      <c r="J25" s="34"/>
    </row>
    <row r="26" spans="1:10" ht="15.75">
      <c r="A26" s="148" t="s">
        <v>93</v>
      </c>
      <c r="B26" s="19" t="s">
        <v>727</v>
      </c>
      <c r="C26" s="19"/>
      <c r="D26" s="19"/>
      <c r="E26" s="19"/>
      <c r="F26" s="19"/>
      <c r="G26" s="705">
        <f>IF(G20&gt;0,G20/G24,0)</f>
        <v>0</v>
      </c>
      <c r="H26" s="444"/>
      <c r="I26" s="19"/>
      <c r="J26" s="19"/>
    </row>
    <row r="27" spans="1:10" ht="15.75">
      <c r="A27" s="148"/>
      <c r="B27" s="148"/>
      <c r="C27" s="19"/>
      <c r="D27" s="19"/>
      <c r="E27" s="19"/>
      <c r="F27" s="19"/>
      <c r="G27" s="444"/>
      <c r="H27" s="444"/>
      <c r="I27" s="19"/>
      <c r="J27" s="19"/>
    </row>
    <row r="28" spans="1:10" ht="15.75">
      <c r="A28" s="148" t="s">
        <v>94</v>
      </c>
      <c r="B28" s="19" t="s">
        <v>728</v>
      </c>
      <c r="C28" s="19"/>
      <c r="D28" s="19"/>
      <c r="E28" s="19"/>
      <c r="F28" s="19"/>
      <c r="G28" s="444"/>
      <c r="H28" s="700" t="s">
        <v>80</v>
      </c>
      <c r="I28" s="19" t="s">
        <v>81</v>
      </c>
      <c r="J28" s="703">
        <f>ROUND(G26*J7,0)</f>
        <v>0</v>
      </c>
    </row>
    <row r="29" spans="1:10" ht="15.75">
      <c r="A29" s="148"/>
      <c r="B29" s="148"/>
      <c r="C29" s="19"/>
      <c r="D29" s="19"/>
      <c r="E29" s="19"/>
      <c r="F29" s="19"/>
      <c r="G29" s="444"/>
      <c r="H29" s="700"/>
      <c r="I29" s="19"/>
      <c r="J29" s="72"/>
    </row>
    <row r="30" spans="1:10" ht="16.5" thickBot="1">
      <c r="A30" s="148" t="s">
        <v>95</v>
      </c>
      <c r="B30" s="19" t="str">
        <f>CONCATENATE(J1," budget tax levy, excluding debt service, prior to CPI adjustment (3 plus 11)")</f>
        <v>0 budget tax levy, excluding debt service, prior to CPI adjustment (3 plus 11)</v>
      </c>
      <c r="C30" s="19"/>
      <c r="D30" s="19"/>
      <c r="E30" s="19"/>
      <c r="F30" s="19"/>
      <c r="G30" s="19"/>
      <c r="H30" s="19"/>
      <c r="I30" s="19" t="s">
        <v>81</v>
      </c>
      <c r="J30" s="706">
        <f>J7+J28</f>
        <v>0</v>
      </c>
    </row>
    <row r="31" spans="1:10" ht="16.5" thickTop="1">
      <c r="A31" s="148"/>
      <c r="B31" s="19"/>
      <c r="C31" s="19"/>
      <c r="D31" s="19"/>
      <c r="E31" s="19"/>
      <c r="F31" s="19"/>
      <c r="G31" s="19"/>
      <c r="H31" s="19"/>
      <c r="I31" s="19"/>
      <c r="J31" s="19"/>
    </row>
    <row r="32" spans="1:10" ht="15.75">
      <c r="A32" s="148" t="s">
        <v>102</v>
      </c>
      <c r="B32" s="19" t="str">
        <f>CONCATENATE("Debt service levy in this ",J1," budget")</f>
        <v>Debt service levy in this 0 budget</v>
      </c>
      <c r="C32" s="19"/>
      <c r="D32" s="19"/>
      <c r="E32" s="19"/>
      <c r="F32" s="19"/>
      <c r="G32" s="19"/>
      <c r="H32" s="19"/>
      <c r="I32" s="19"/>
      <c r="J32" s="283">
        <f>'DebtSvs-EmployBenefit'!E42</f>
        <v>0</v>
      </c>
    </row>
    <row r="33" spans="1:10" ht="15.75">
      <c r="A33" s="148"/>
      <c r="B33" s="19"/>
      <c r="C33" s="19"/>
      <c r="D33" s="19"/>
      <c r="E33" s="19"/>
      <c r="F33" s="19"/>
      <c r="G33" s="19"/>
      <c r="H33" s="19"/>
      <c r="I33" s="19"/>
      <c r="J33" s="444"/>
    </row>
    <row r="34" spans="1:10" ht="16.5" thickBot="1">
      <c r="A34" s="148" t="s">
        <v>103</v>
      </c>
      <c r="B34" s="19" t="str">
        <f>CONCATENATE(J1," budget tax levy, including debt service, prior to CPI adjustment (12 plus 13)")</f>
        <v>0 budget tax levy, including debt service, prior to CPI adjustment (12 plus 13)</v>
      </c>
      <c r="C34" s="19"/>
      <c r="D34" s="19"/>
      <c r="E34" s="19"/>
      <c r="F34" s="19"/>
      <c r="G34" s="19"/>
      <c r="H34" s="19"/>
      <c r="I34" s="19"/>
      <c r="J34" s="706">
        <f>J30+J32</f>
        <v>0</v>
      </c>
    </row>
    <row r="35" spans="1:10" ht="16.5" thickTop="1">
      <c r="A35" s="712"/>
      <c r="B35" s="711"/>
      <c r="C35" s="711"/>
      <c r="D35" s="711"/>
      <c r="E35" s="711"/>
      <c r="F35" s="711"/>
      <c r="G35" s="711"/>
      <c r="H35" s="711"/>
      <c r="I35" s="711"/>
      <c r="J35" s="709"/>
    </row>
    <row r="36" spans="1:10" ht="15.75">
      <c r="A36" s="714" t="s">
        <v>717</v>
      </c>
      <c r="B36" s="711" t="str">
        <f>CONCATENATE("Consumer Price Index for all urban consumers for calendar year ",J1-2)</f>
        <v>Consumer Price Index for all urban consumers for calendar year -2</v>
      </c>
      <c r="C36" s="711"/>
      <c r="D36" s="711"/>
      <c r="E36" s="711"/>
      <c r="F36" s="711"/>
      <c r="G36" s="711"/>
      <c r="H36" s="711"/>
      <c r="I36" s="711"/>
      <c r="J36" s="1009">
        <v>0.00125</v>
      </c>
    </row>
    <row r="37" spans="1:10" ht="15.75">
      <c r="A37" s="714"/>
      <c r="B37" s="711"/>
      <c r="C37" s="711"/>
      <c r="D37" s="711"/>
      <c r="E37" s="711"/>
      <c r="F37" s="711"/>
      <c r="G37" s="711"/>
      <c r="H37" s="711"/>
      <c r="I37" s="711"/>
      <c r="J37" s="715"/>
    </row>
    <row r="38" spans="1:10" ht="15.75">
      <c r="A38" s="714" t="s">
        <v>718</v>
      </c>
      <c r="B38" s="711" t="s">
        <v>719</v>
      </c>
      <c r="C38" s="711"/>
      <c r="D38" s="711"/>
      <c r="E38" s="711"/>
      <c r="F38" s="711"/>
      <c r="G38" s="711"/>
      <c r="H38" s="711"/>
      <c r="I38" s="710" t="s">
        <v>81</v>
      </c>
      <c r="J38" s="708">
        <f>ROUND(J7*J36,0)</f>
        <v>0</v>
      </c>
    </row>
    <row r="39" spans="1:10" ht="15.75">
      <c r="A39" s="712"/>
      <c r="B39" s="711"/>
      <c r="C39" s="711"/>
      <c r="D39" s="711"/>
      <c r="E39" s="711"/>
      <c r="F39" s="711"/>
      <c r="G39" s="711"/>
      <c r="H39" s="711"/>
      <c r="I39" s="711"/>
      <c r="J39" s="709"/>
    </row>
    <row r="40" spans="1:10" ht="15.75">
      <c r="A40" s="712" t="s">
        <v>720</v>
      </c>
      <c r="B40" s="711" t="str">
        <f>CONCATENATE("Maximum levy for budget year ",J1,", including debt service, not requiring 'notice of vote publication'")</f>
        <v>Maximum levy for budget year 0, including debt service, not requiring 'notice of vote publication'</v>
      </c>
      <c r="C40" s="711"/>
      <c r="D40" s="711"/>
      <c r="E40" s="711"/>
      <c r="F40" s="711"/>
      <c r="G40" s="711"/>
      <c r="H40" s="711"/>
      <c r="I40" s="711"/>
      <c r="J40" s="707"/>
    </row>
    <row r="41" spans="1:10" ht="19.5" thickBot="1">
      <c r="A41" s="701"/>
      <c r="B41" s="710" t="s">
        <v>778</v>
      </c>
      <c r="C41" s="701"/>
      <c r="D41" s="701"/>
      <c r="E41" s="701"/>
      <c r="F41" s="701"/>
      <c r="G41" s="701"/>
      <c r="H41" s="701"/>
      <c r="I41" s="710" t="s">
        <v>81</v>
      </c>
      <c r="J41" s="713">
        <f>J34+J38</f>
        <v>0</v>
      </c>
    </row>
    <row r="42" spans="1:10" ht="19.5" thickTop="1">
      <c r="A42" s="701"/>
      <c r="B42" s="716"/>
      <c r="C42" s="701"/>
      <c r="D42" s="701"/>
      <c r="E42" s="701"/>
      <c r="F42" s="701"/>
      <c r="G42" s="701"/>
      <c r="H42" s="701"/>
      <c r="I42" s="710"/>
      <c r="J42" s="709"/>
    </row>
    <row r="43" spans="1:10" ht="18.75">
      <c r="A43" s="701"/>
      <c r="B43" s="716"/>
      <c r="C43" s="701"/>
      <c r="D43" s="701"/>
      <c r="E43" s="701"/>
      <c r="F43" s="701"/>
      <c r="G43" s="701"/>
      <c r="H43" s="701"/>
      <c r="I43" s="710"/>
      <c r="J43" s="709"/>
    </row>
    <row r="44" spans="1:10" ht="15" customHeight="1">
      <c r="A44" s="903" t="str">
        <f>CONCATENATE("If the ",J1," adopted budget includes a total property tax levy exceeding the dollar amount in line 17")</f>
        <v>If the 0 adopted budget includes a total property tax levy exceeding the dollar amount in line 17</v>
      </c>
      <c r="B44" s="903"/>
      <c r="C44" s="903"/>
      <c r="D44" s="903"/>
      <c r="E44" s="903"/>
      <c r="F44" s="903"/>
      <c r="G44" s="903"/>
      <c r="H44" s="903"/>
      <c r="I44" s="903"/>
      <c r="J44" s="903"/>
    </row>
    <row r="45" spans="1:10" ht="31.5" customHeight="1">
      <c r="A45" s="902" t="s">
        <v>779</v>
      </c>
      <c r="B45" s="902"/>
      <c r="C45" s="902"/>
      <c r="D45" s="902"/>
      <c r="E45" s="902"/>
      <c r="F45" s="902"/>
      <c r="G45" s="902"/>
      <c r="H45" s="902"/>
      <c r="I45" s="902"/>
      <c r="J45" s="902"/>
    </row>
    <row r="46" spans="1:10" ht="15" customHeight="1">
      <c r="A46" s="901" t="s">
        <v>721</v>
      </c>
      <c r="B46" s="901"/>
      <c r="C46" s="901"/>
      <c r="D46" s="901"/>
      <c r="E46" s="901"/>
      <c r="F46" s="901"/>
      <c r="G46" s="901"/>
      <c r="H46" s="901"/>
      <c r="I46" s="901"/>
      <c r="J46" s="901"/>
    </row>
    <row r="47" spans="1:10" ht="15" customHeight="1">
      <c r="A47" s="901" t="s">
        <v>722</v>
      </c>
      <c r="B47" s="901"/>
      <c r="C47" s="901"/>
      <c r="D47" s="901"/>
      <c r="E47" s="901"/>
      <c r="F47" s="901"/>
      <c r="G47" s="901"/>
      <c r="H47" s="901"/>
      <c r="I47" s="901"/>
      <c r="J47" s="901"/>
    </row>
  </sheetData>
  <sheetProtection sheet="1"/>
  <mergeCells count="7">
    <mergeCell ref="A3:J3"/>
    <mergeCell ref="E4:G4"/>
    <mergeCell ref="A46:J46"/>
    <mergeCell ref="A45:J45"/>
    <mergeCell ref="A44:J44"/>
    <mergeCell ref="A47:J47"/>
    <mergeCell ref="A9:J9"/>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A1">
      <selection activeCell="Q122" sqref="Q122"/>
    </sheetView>
  </sheetViews>
  <sheetFormatPr defaultColWidth="8.796875" defaultRowHeight="15"/>
  <cols>
    <col min="1" max="1" width="8.8984375" style="155" customWidth="1"/>
    <col min="2" max="2" width="17.796875" style="17" customWidth="1"/>
    <col min="3" max="3" width="15.796875" style="17" customWidth="1"/>
    <col min="4" max="4" width="12.796875" style="17" customWidth="1"/>
    <col min="5" max="5" width="13.19921875" style="17" customWidth="1"/>
    <col min="6" max="8" width="12.796875" style="17" customWidth="1"/>
    <col min="9" max="9" width="10.796875" style="17" customWidth="1"/>
    <col min="10" max="16384" width="8.8984375" style="17" customWidth="1"/>
  </cols>
  <sheetData>
    <row r="1" spans="1:9" ht="15.75">
      <c r="A1" s="19"/>
      <c r="B1" s="19">
        <f>inputPrYr!D3</f>
        <v>0</v>
      </c>
      <c r="C1" s="19"/>
      <c r="D1" s="19"/>
      <c r="E1" s="19"/>
      <c r="F1" s="19"/>
      <c r="G1" s="19"/>
      <c r="H1" s="19"/>
      <c r="I1" s="19"/>
    </row>
    <row r="2" spans="1:9" ht="15.75">
      <c r="A2" s="19"/>
      <c r="B2" s="19">
        <f>inputPrYr!D4</f>
        <v>0</v>
      </c>
      <c r="C2" s="19"/>
      <c r="D2" s="19"/>
      <c r="E2" s="19"/>
      <c r="F2" s="19"/>
      <c r="G2" s="19"/>
      <c r="H2" s="19"/>
      <c r="I2" s="19">
        <f>inputPrYr!D22</f>
        <v>0</v>
      </c>
    </row>
    <row r="3" spans="1:9" ht="15.75">
      <c r="A3" s="19"/>
      <c r="B3" s="19"/>
      <c r="C3" s="153"/>
      <c r="D3" s="153"/>
      <c r="E3" s="153"/>
      <c r="F3" s="153"/>
      <c r="G3" s="153"/>
      <c r="H3" s="153"/>
      <c r="I3" s="19"/>
    </row>
    <row r="4" spans="1:9" ht="15.75">
      <c r="A4" s="90"/>
      <c r="B4" s="19"/>
      <c r="C4" s="19"/>
      <c r="D4" s="19"/>
      <c r="E4" s="19"/>
      <c r="F4" s="19"/>
      <c r="G4" s="19"/>
      <c r="H4" s="19"/>
      <c r="I4" s="19"/>
    </row>
    <row r="5" spans="1:9" ht="15.75">
      <c r="A5" s="90"/>
      <c r="B5" s="19"/>
      <c r="C5" s="26"/>
      <c r="D5" s="26"/>
      <c r="E5" s="26"/>
      <c r="F5" s="19"/>
      <c r="G5" s="19"/>
      <c r="H5" s="19"/>
      <c r="I5" s="19"/>
    </row>
    <row r="6" spans="1:9" ht="15.75">
      <c r="A6" s="908" t="s">
        <v>766</v>
      </c>
      <c r="B6" s="908"/>
      <c r="C6" s="908"/>
      <c r="D6" s="908"/>
      <c r="E6" s="908"/>
      <c r="F6" s="908"/>
      <c r="G6" s="908"/>
      <c r="H6" s="908"/>
      <c r="I6" s="908"/>
    </row>
    <row r="7" spans="1:9" ht="15.75">
      <c r="A7" s="90"/>
      <c r="B7" s="768"/>
      <c r="C7" s="768"/>
      <c r="D7" s="768"/>
      <c r="E7" s="768"/>
      <c r="F7" s="768"/>
      <c r="G7" s="19"/>
      <c r="H7" s="19"/>
      <c r="I7" s="19"/>
    </row>
    <row r="8" spans="1:9" ht="15.75">
      <c r="A8" s="19"/>
      <c r="B8" s="19"/>
      <c r="C8" s="19"/>
      <c r="D8" s="19"/>
      <c r="E8" s="19"/>
      <c r="F8" s="19"/>
      <c r="G8" s="19"/>
      <c r="H8" s="19"/>
      <c r="I8" s="19"/>
    </row>
    <row r="9" spans="1:9" ht="15.75">
      <c r="A9" s="19"/>
      <c r="B9" s="905" t="str">
        <f>CONCATENATE("",I2-1,"                    Budgeted Funds")</f>
        <v>-1                    Budgeted Funds</v>
      </c>
      <c r="C9" s="907" t="str">
        <f>CONCATENATE("Tax Levy Amount in ",I2-1," Budget")</f>
        <v>Tax Levy Amount in -1 Budget</v>
      </c>
      <c r="D9" s="889" t="str">
        <f>CONCATENATE("Allocation for Year ",I2,"")</f>
        <v>Allocation for Year 0</v>
      </c>
      <c r="E9" s="848"/>
      <c r="F9" s="848"/>
      <c r="G9" s="848"/>
      <c r="H9" s="893"/>
      <c r="I9" s="19"/>
    </row>
    <row r="10" spans="1:9" ht="18" customHeight="1">
      <c r="A10" s="19"/>
      <c r="B10" s="906"/>
      <c r="C10" s="906"/>
      <c r="D10" s="86" t="s">
        <v>37</v>
      </c>
      <c r="E10" s="86" t="s">
        <v>38</v>
      </c>
      <c r="F10" s="86" t="s">
        <v>76</v>
      </c>
      <c r="G10" s="779" t="s">
        <v>764</v>
      </c>
      <c r="H10" s="779" t="s">
        <v>765</v>
      </c>
      <c r="I10" s="19"/>
    </row>
    <row r="11" spans="1:9" ht="15.75">
      <c r="A11" s="19"/>
      <c r="B11" s="44" t="str">
        <f>inputPrYr!B35</f>
        <v>General</v>
      </c>
      <c r="C11" s="122">
        <f>inputPrYr!E35</f>
        <v>0</v>
      </c>
      <c r="D11" s="122">
        <f>IF(E18=0,0,E18-SUM(D12:D15))</f>
        <v>0</v>
      </c>
      <c r="E11" s="122">
        <f>IF(E20=0,0,E20-SUM(E12:E15))</f>
        <v>0</v>
      </c>
      <c r="F11" s="122">
        <f>IF(E22=0,0,E22-SUM(F12:F15))</f>
        <v>0</v>
      </c>
      <c r="G11" s="122">
        <f>IF(E24=0,0,E24-SUM(G12:G15))</f>
        <v>0</v>
      </c>
      <c r="H11" s="122">
        <f>IF(E26=0,0,E26-SUM(H12:H15))</f>
        <v>0</v>
      </c>
      <c r="I11" s="19"/>
    </row>
    <row r="12" spans="1:9" ht="15.75">
      <c r="A12" s="19"/>
      <c r="B12" s="44" t="str">
        <f>inputPrYr!B36</f>
        <v>Debt Service</v>
      </c>
      <c r="C12" s="122">
        <f>inputPrYr!E36</f>
        <v>0</v>
      </c>
      <c r="D12" s="122">
        <f>IF($E$18=0,0,ROUND(C12*$C$28,0))</f>
        <v>0</v>
      </c>
      <c r="E12" s="122">
        <f>IF($E$20=0,0,ROUND(C12*$D$30,0))</f>
        <v>0</v>
      </c>
      <c r="F12" s="122">
        <f>IF($E22=0,0,ROUND(C12*$E$32,0))</f>
        <v>0</v>
      </c>
      <c r="G12" s="122">
        <f>IF($E24=0,0,ROUND(C12*$F$34,0))</f>
        <v>0</v>
      </c>
      <c r="H12" s="122">
        <f>IF($E26=0,0,ROUND(C12*$G$36,0))</f>
        <v>0</v>
      </c>
      <c r="I12" s="19"/>
    </row>
    <row r="13" spans="1:9" ht="15.75">
      <c r="A13" s="19"/>
      <c r="B13" s="44" t="str">
        <f>inputPrYr!B37</f>
        <v>Employee Benefits</v>
      </c>
      <c r="C13" s="122">
        <f>inputPrYr!E37</f>
        <v>0</v>
      </c>
      <c r="D13" s="122">
        <f>IF($E$18=0,0,ROUND(C13*$C$28,0))</f>
        <v>0</v>
      </c>
      <c r="E13" s="122">
        <f>IF($E$20=0,0,ROUND(C13*$D$30,0))</f>
        <v>0</v>
      </c>
      <c r="F13" s="122">
        <f>IF($E22=0,0,ROUND(C13*$E$32,0))</f>
        <v>0</v>
      </c>
      <c r="G13" s="122">
        <f>IF($E24=0,0,ROUND(C13*$F$34,0))</f>
        <v>0</v>
      </c>
      <c r="H13" s="122">
        <f>IF($E26=0,0,ROUND(C13*$G$36,0))</f>
        <v>0</v>
      </c>
      <c r="I13" s="19"/>
    </row>
    <row r="14" spans="1:9" ht="15.75">
      <c r="A14" s="19"/>
      <c r="B14" s="44" t="str">
        <f>IF(inputPrYr!$B$39&gt;"  ",inputPrYr!$B$39,"  ")</f>
        <v>  </v>
      </c>
      <c r="C14" s="122">
        <f>inputPrYr!E39</f>
        <v>0</v>
      </c>
      <c r="D14" s="122">
        <f>IF($E$18=0,0,ROUND(C14*$C$28,0))</f>
        <v>0</v>
      </c>
      <c r="E14" s="122">
        <f>IF($E$20=0,0,ROUND(C14*$D$30,0))</f>
        <v>0</v>
      </c>
      <c r="F14" s="122">
        <f>IF($E22=0,0,ROUND(C14*$E$32,0))</f>
        <v>0</v>
      </c>
      <c r="G14" s="122">
        <f>IF($E24=0,0,ROUND(C14*$F$34,0))</f>
        <v>0</v>
      </c>
      <c r="H14" s="122">
        <f>IF($E26=0,0,ROUND(C14*$G$36,0))</f>
        <v>0</v>
      </c>
      <c r="I14" s="19"/>
    </row>
    <row r="15" spans="1:9" ht="15.75">
      <c r="A15" s="19"/>
      <c r="B15" s="44" t="str">
        <f>IF(inputPrYr!$B$40&gt;"  ",inputPrYr!$B$40,"  ")</f>
        <v>  </v>
      </c>
      <c r="C15" s="122">
        <f>inputPrYr!E40</f>
        <v>0</v>
      </c>
      <c r="D15" s="122">
        <f>IF($E$18=0,0,ROUND(C15*$C$28,0))</f>
        <v>0</v>
      </c>
      <c r="E15" s="122">
        <f>IF($E$20=0,0,ROUND(C15*$D$30,0))</f>
        <v>0</v>
      </c>
      <c r="F15" s="122">
        <f>IF($E22=0,0,ROUND(C15*$E$32,0))</f>
        <v>0</v>
      </c>
      <c r="G15" s="122">
        <f>IF($E24=0,0,ROUND(C15*$F$34,0))</f>
        <v>0</v>
      </c>
      <c r="H15" s="122">
        <f>IF($E26=0,0,ROUND(C15*$G$36,0))</f>
        <v>0</v>
      </c>
      <c r="I15" s="19"/>
    </row>
    <row r="16" spans="1:9" ht="16.5" thickBot="1">
      <c r="A16" s="19"/>
      <c r="B16" s="31" t="s">
        <v>7</v>
      </c>
      <c r="C16" s="42">
        <f aca="true" t="shared" si="0" ref="C16:H16">SUM(C11:C15)</f>
        <v>0</v>
      </c>
      <c r="D16" s="42">
        <f t="shared" si="0"/>
        <v>0</v>
      </c>
      <c r="E16" s="42">
        <f t="shared" si="0"/>
        <v>0</v>
      </c>
      <c r="F16" s="42">
        <f t="shared" si="0"/>
        <v>0</v>
      </c>
      <c r="G16" s="42">
        <f t="shared" si="0"/>
        <v>0</v>
      </c>
      <c r="H16" s="42">
        <f t="shared" si="0"/>
        <v>0</v>
      </c>
      <c r="I16" s="19"/>
    </row>
    <row r="17" spans="1:9" ht="16.5" thickTop="1">
      <c r="A17" s="19"/>
      <c r="B17" s="19"/>
      <c r="C17" s="19"/>
      <c r="D17" s="19"/>
      <c r="E17" s="19"/>
      <c r="F17" s="19"/>
      <c r="G17" s="19"/>
      <c r="H17" s="19"/>
      <c r="I17" s="19"/>
    </row>
    <row r="18" spans="1:9" ht="15.75">
      <c r="A18" s="19"/>
      <c r="B18" s="781" t="s">
        <v>767</v>
      </c>
      <c r="C18" s="19"/>
      <c r="D18" s="19"/>
      <c r="E18" s="154">
        <f>inputOth!D60</f>
        <v>0</v>
      </c>
      <c r="F18" s="19"/>
      <c r="G18" s="19"/>
      <c r="H18" s="19"/>
      <c r="I18" s="19"/>
    </row>
    <row r="19" spans="1:9" ht="15.75">
      <c r="A19" s="19"/>
      <c r="B19" s="780"/>
      <c r="C19" s="19"/>
      <c r="D19" s="153"/>
      <c r="E19" s="153"/>
      <c r="F19" s="19"/>
      <c r="G19" s="19"/>
      <c r="H19" s="19"/>
      <c r="I19" s="19"/>
    </row>
    <row r="20" spans="1:9" ht="15.75">
      <c r="A20" s="19"/>
      <c r="B20" s="781" t="s">
        <v>768</v>
      </c>
      <c r="C20" s="19"/>
      <c r="D20" s="153"/>
      <c r="E20" s="154">
        <f>inputOth!E60</f>
        <v>0</v>
      </c>
      <c r="F20" s="19"/>
      <c r="G20" s="19"/>
      <c r="H20" s="19"/>
      <c r="I20" s="19"/>
    </row>
    <row r="21" spans="1:9" ht="15.75">
      <c r="A21" s="19"/>
      <c r="B21" s="780"/>
      <c r="C21" s="19"/>
      <c r="D21" s="19"/>
      <c r="E21" s="19"/>
      <c r="F21" s="19"/>
      <c r="G21" s="19"/>
      <c r="H21" s="19"/>
      <c r="I21" s="19"/>
    </row>
    <row r="22" spans="1:9" ht="15.75">
      <c r="A22" s="19"/>
      <c r="B22" s="781" t="s">
        <v>769</v>
      </c>
      <c r="C22" s="19"/>
      <c r="D22" s="19"/>
      <c r="E22" s="154">
        <f>inputOth!F60</f>
        <v>0</v>
      </c>
      <c r="F22" s="19"/>
      <c r="G22" s="19"/>
      <c r="H22" s="19"/>
      <c r="I22" s="19"/>
    </row>
    <row r="23" spans="1:9" ht="15.75">
      <c r="A23" s="19"/>
      <c r="B23" s="780"/>
      <c r="C23" s="19"/>
      <c r="D23" s="19"/>
      <c r="E23" s="219"/>
      <c r="F23" s="19"/>
      <c r="G23" s="19"/>
      <c r="H23" s="19"/>
      <c r="I23" s="19"/>
    </row>
    <row r="24" spans="1:9" ht="15.75">
      <c r="A24" s="19"/>
      <c r="B24" s="780" t="s">
        <v>770</v>
      </c>
      <c r="C24" s="19"/>
      <c r="D24" s="19"/>
      <c r="E24" s="154">
        <f>inputOth!G60</f>
        <v>0</v>
      </c>
      <c r="F24" s="19"/>
      <c r="G24" s="19"/>
      <c r="H24" s="19"/>
      <c r="I24" s="19"/>
    </row>
    <row r="25" spans="1:9" ht="15.75">
      <c r="A25" s="19"/>
      <c r="B25" s="780"/>
      <c r="C25" s="19"/>
      <c r="D25" s="19"/>
      <c r="E25" s="219"/>
      <c r="F25" s="19"/>
      <c r="G25" s="19"/>
      <c r="H25" s="19"/>
      <c r="I25" s="19"/>
    </row>
    <row r="26" spans="1:9" ht="15.75">
      <c r="A26" s="19"/>
      <c r="B26" s="780" t="s">
        <v>771</v>
      </c>
      <c r="C26" s="19"/>
      <c r="D26" s="19"/>
      <c r="E26" s="154">
        <f>inputOth!H60</f>
        <v>0</v>
      </c>
      <c r="F26" s="19"/>
      <c r="G26" s="19"/>
      <c r="H26" s="19"/>
      <c r="I26" s="19"/>
    </row>
    <row r="27" spans="1:9" ht="15.75">
      <c r="A27" s="19"/>
      <c r="B27" s="19"/>
      <c r="C27" s="19"/>
      <c r="D27" s="19"/>
      <c r="E27" s="19"/>
      <c r="F27" s="19"/>
      <c r="G27" s="19"/>
      <c r="H27" s="19"/>
      <c r="I27" s="19"/>
    </row>
    <row r="28" spans="1:9" ht="15.75">
      <c r="A28" s="19"/>
      <c r="B28" s="152" t="s">
        <v>39</v>
      </c>
      <c r="C28" s="770">
        <f>IF(C16=0,0,E18/C16)</f>
        <v>0</v>
      </c>
      <c r="D28" s="771"/>
      <c r="E28" s="771"/>
      <c r="F28" s="771"/>
      <c r="G28" s="19"/>
      <c r="H28" s="19"/>
      <c r="I28" s="19"/>
    </row>
    <row r="29" spans="1:9" ht="15.75">
      <c r="A29" s="19"/>
      <c r="B29" s="18"/>
      <c r="C29" s="772"/>
      <c r="D29" s="771"/>
      <c r="E29" s="771"/>
      <c r="F29" s="771"/>
      <c r="G29" s="19"/>
      <c r="H29" s="19"/>
      <c r="I29" s="19"/>
    </row>
    <row r="30" spans="1:9" ht="15.75">
      <c r="A30" s="19"/>
      <c r="B30" s="19"/>
      <c r="C30" s="773" t="s">
        <v>40</v>
      </c>
      <c r="D30" s="774">
        <f>IF(C16=0,0,E20/C16)</f>
        <v>0</v>
      </c>
      <c r="E30" s="771"/>
      <c r="F30" s="771"/>
      <c r="G30" s="19"/>
      <c r="H30" s="19"/>
      <c r="I30" s="19"/>
    </row>
    <row r="31" spans="1:9" ht="15.75">
      <c r="A31" s="19"/>
      <c r="B31" s="19"/>
      <c r="C31" s="775"/>
      <c r="D31" s="776"/>
      <c r="E31" s="771"/>
      <c r="F31" s="771"/>
      <c r="G31" s="19"/>
      <c r="H31" s="19"/>
      <c r="I31" s="19"/>
    </row>
    <row r="32" spans="1:9" ht="15.75">
      <c r="A32" s="19"/>
      <c r="B32" s="19"/>
      <c r="C32" s="771"/>
      <c r="D32" s="773" t="s">
        <v>77</v>
      </c>
      <c r="E32" s="774">
        <f>IF(C16=0,0,E22/C16)</f>
        <v>0</v>
      </c>
      <c r="F32" s="771"/>
      <c r="G32" s="19"/>
      <c r="H32" s="19"/>
      <c r="I32" s="19"/>
    </row>
    <row r="33" spans="1:9" ht="15.75">
      <c r="A33" s="19"/>
      <c r="B33" s="19"/>
      <c r="C33" s="771"/>
      <c r="D33" s="773"/>
      <c r="E33" s="776"/>
      <c r="F33" s="771"/>
      <c r="G33" s="19"/>
      <c r="H33" s="19"/>
      <c r="I33" s="19"/>
    </row>
    <row r="34" spans="1:9" ht="15.75">
      <c r="A34" s="19"/>
      <c r="B34" s="19"/>
      <c r="C34" s="771"/>
      <c r="D34" s="773"/>
      <c r="E34" s="777" t="s">
        <v>762</v>
      </c>
      <c r="F34" s="774">
        <f>IF(C16=0,0,E24/C16)</f>
        <v>0</v>
      </c>
      <c r="G34" s="19"/>
      <c r="H34" s="19"/>
      <c r="I34" s="19"/>
    </row>
    <row r="35" spans="1:9" ht="15.75">
      <c r="A35" s="19"/>
      <c r="B35" s="19"/>
      <c r="C35" s="771"/>
      <c r="D35" s="773"/>
      <c r="E35" s="776"/>
      <c r="F35" s="771"/>
      <c r="G35" s="19"/>
      <c r="H35" s="19"/>
      <c r="I35" s="19"/>
    </row>
    <row r="36" spans="1:9" ht="15.75">
      <c r="A36" s="19"/>
      <c r="B36" s="19"/>
      <c r="C36" s="771"/>
      <c r="D36" s="773"/>
      <c r="E36" s="776"/>
      <c r="F36" s="778" t="s">
        <v>763</v>
      </c>
      <c r="G36" s="774">
        <f>IF(C16=0,0,E26/C16)</f>
        <v>0</v>
      </c>
      <c r="H36" s="19"/>
      <c r="I36" s="19"/>
    </row>
    <row r="37" spans="1:9" ht="15.75">
      <c r="A37" s="19"/>
      <c r="B37" s="19"/>
      <c r="C37" s="19"/>
      <c r="D37" s="19"/>
      <c r="E37" s="19"/>
      <c r="F37" s="19"/>
      <c r="G37" s="19"/>
      <c r="H37" s="19"/>
      <c r="I37" s="19"/>
    </row>
    <row r="38" spans="1:9" ht="15.75">
      <c r="A38" s="19"/>
      <c r="B38" s="19"/>
      <c r="C38" s="19"/>
      <c r="D38" s="19"/>
      <c r="E38" s="19"/>
      <c r="F38" s="19"/>
      <c r="G38" s="19"/>
      <c r="H38" s="153"/>
      <c r="I38" s="19"/>
    </row>
  </sheetData>
  <sheetProtection sheet="1"/>
  <mergeCells count="4">
    <mergeCell ref="B9:B10"/>
    <mergeCell ref="C9:C10"/>
    <mergeCell ref="D9:H9"/>
    <mergeCell ref="A6:I6"/>
  </mergeCells>
  <printOptions/>
  <pageMargins left="1.63" right="0.5" top="1" bottom="0.5" header="0.5" footer="0.5"/>
  <pageSetup blackAndWhite="1" fitToHeight="1" fitToWidth="1" horizontalDpi="120" verticalDpi="120" orientation="landscape" scale="75"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Q66" sqref="Q66"/>
    </sheetView>
  </sheetViews>
  <sheetFormatPr defaultColWidth="8.796875" defaultRowHeight="15"/>
  <cols>
    <col min="1" max="2" width="17.796875" style="17" customWidth="1"/>
    <col min="3" max="6" width="12.796875" style="17" customWidth="1"/>
    <col min="7" max="16384" width="8.8984375" style="17" customWidth="1"/>
  </cols>
  <sheetData>
    <row r="1" spans="1:6" ht="15.75">
      <c r="A1" s="153"/>
      <c r="B1" s="19"/>
      <c r="C1" s="19"/>
      <c r="D1" s="19"/>
      <c r="E1" s="151"/>
      <c r="F1" s="19">
        <f>inputPrYr!D22</f>
        <v>0</v>
      </c>
    </row>
    <row r="2" spans="1:6" ht="15.75">
      <c r="A2" s="156">
        <f>inputPrYr!D3</f>
        <v>0</v>
      </c>
      <c r="B2" s="156"/>
      <c r="C2" s="19"/>
      <c r="D2" s="19"/>
      <c r="E2" s="151"/>
      <c r="F2" s="19"/>
    </row>
    <row r="3" spans="1:6" ht="15.75">
      <c r="A3" s="156">
        <f>inputPrYr!D4</f>
        <v>0</v>
      </c>
      <c r="B3" s="156"/>
      <c r="C3" s="19"/>
      <c r="D3" s="19"/>
      <c r="E3" s="151"/>
      <c r="F3" s="19"/>
    </row>
    <row r="4" spans="1:6" ht="15.75">
      <c r="A4" s="153"/>
      <c r="B4" s="19"/>
      <c r="C4" s="19"/>
      <c r="D4" s="19"/>
      <c r="E4" s="151"/>
      <c r="F4" s="19"/>
    </row>
    <row r="5" spans="1:6" ht="15" customHeight="1">
      <c r="A5" s="885" t="s">
        <v>115</v>
      </c>
      <c r="B5" s="885"/>
      <c r="C5" s="885"/>
      <c r="D5" s="885"/>
      <c r="E5" s="885"/>
      <c r="F5" s="885"/>
    </row>
    <row r="6" spans="1:6" ht="14.25" customHeight="1">
      <c r="A6" s="100"/>
      <c r="B6" s="157"/>
      <c r="C6" s="157"/>
      <c r="D6" s="157"/>
      <c r="E6" s="157"/>
      <c r="F6" s="157"/>
    </row>
    <row r="7" spans="1:6" ht="17.25" customHeight="1">
      <c r="A7" s="158" t="s">
        <v>16</v>
      </c>
      <c r="B7" s="158" t="s">
        <v>468</v>
      </c>
      <c r="C7" s="158" t="s">
        <v>41</v>
      </c>
      <c r="D7" s="158" t="s">
        <v>116</v>
      </c>
      <c r="E7" s="158" t="s">
        <v>117</v>
      </c>
      <c r="F7" s="158" t="s">
        <v>128</v>
      </c>
    </row>
    <row r="8" spans="1:6" ht="17.25" customHeight="1">
      <c r="A8" s="159" t="s">
        <v>469</v>
      </c>
      <c r="B8" s="159" t="s">
        <v>470</v>
      </c>
      <c r="C8" s="159" t="s">
        <v>129</v>
      </c>
      <c r="D8" s="159" t="s">
        <v>129</v>
      </c>
      <c r="E8" s="159" t="s">
        <v>129</v>
      </c>
      <c r="F8" s="159" t="s">
        <v>130</v>
      </c>
    </row>
    <row r="9" spans="1:6" s="162" customFormat="1" ht="18" customHeight="1">
      <c r="A9" s="160" t="s">
        <v>131</v>
      </c>
      <c r="B9" s="160" t="s">
        <v>132</v>
      </c>
      <c r="C9" s="161">
        <f>F1-2</f>
        <v>-2</v>
      </c>
      <c r="D9" s="161">
        <f>F1-1</f>
        <v>-1</v>
      </c>
      <c r="E9" s="161">
        <f>F1</f>
        <v>0</v>
      </c>
      <c r="F9" s="160" t="s">
        <v>133</v>
      </c>
    </row>
    <row r="10" spans="1:6" ht="15" customHeight="1">
      <c r="A10" s="163"/>
      <c r="B10" s="163"/>
      <c r="C10" s="164"/>
      <c r="D10" s="164"/>
      <c r="E10" s="164"/>
      <c r="F10" s="163"/>
    </row>
    <row r="11" spans="1:6" ht="15" customHeight="1">
      <c r="A11" s="43"/>
      <c r="B11" s="43"/>
      <c r="C11" s="165"/>
      <c r="D11" s="165"/>
      <c r="E11" s="165"/>
      <c r="F11" s="43"/>
    </row>
    <row r="12" spans="1:6" ht="15" customHeight="1">
      <c r="A12" s="43"/>
      <c r="B12" s="43"/>
      <c r="C12" s="165"/>
      <c r="D12" s="165"/>
      <c r="E12" s="165"/>
      <c r="F12" s="43"/>
    </row>
    <row r="13" spans="1:6" ht="15" customHeight="1">
      <c r="A13" s="43"/>
      <c r="B13" s="43"/>
      <c r="C13" s="165"/>
      <c r="D13" s="165"/>
      <c r="E13" s="165"/>
      <c r="F13" s="43"/>
    </row>
    <row r="14" spans="1:6" ht="15" customHeight="1">
      <c r="A14" s="43"/>
      <c r="B14" s="43"/>
      <c r="C14" s="165"/>
      <c r="D14" s="165"/>
      <c r="E14" s="165"/>
      <c r="F14" s="43"/>
    </row>
    <row r="15" spans="1:6" ht="15" customHeight="1">
      <c r="A15" s="43"/>
      <c r="B15" s="43"/>
      <c r="C15" s="165"/>
      <c r="D15" s="165"/>
      <c r="E15" s="165"/>
      <c r="F15" s="43"/>
    </row>
    <row r="16" spans="1:6" ht="15" customHeight="1">
      <c r="A16" s="43"/>
      <c r="B16" s="166"/>
      <c r="C16" s="165"/>
      <c r="D16" s="165"/>
      <c r="E16" s="165"/>
      <c r="F16" s="43"/>
    </row>
    <row r="17" spans="1:6" ht="15" customHeight="1">
      <c r="A17" s="43"/>
      <c r="B17" s="43"/>
      <c r="C17" s="165"/>
      <c r="D17" s="165"/>
      <c r="E17" s="165"/>
      <c r="F17" s="43"/>
    </row>
    <row r="18" spans="1:6" ht="15" customHeight="1">
      <c r="A18" s="43"/>
      <c r="B18" s="43"/>
      <c r="C18" s="165"/>
      <c r="D18" s="165"/>
      <c r="E18" s="165"/>
      <c r="F18" s="43"/>
    </row>
    <row r="19" spans="1:6" ht="15" customHeight="1">
      <c r="A19" s="43"/>
      <c r="B19" s="43"/>
      <c r="C19" s="165"/>
      <c r="D19" s="165"/>
      <c r="E19" s="165"/>
      <c r="F19" s="43"/>
    </row>
    <row r="20" spans="1:6" ht="15" customHeight="1">
      <c r="A20" s="43"/>
      <c r="B20" s="43"/>
      <c r="C20" s="165"/>
      <c r="D20" s="165"/>
      <c r="E20" s="165"/>
      <c r="F20" s="43"/>
    </row>
    <row r="21" spans="1:6" ht="15" customHeight="1">
      <c r="A21" s="43"/>
      <c r="B21" s="43"/>
      <c r="C21" s="165"/>
      <c r="D21" s="165"/>
      <c r="E21" s="165"/>
      <c r="F21" s="43"/>
    </row>
    <row r="22" spans="1:6" ht="15" customHeight="1">
      <c r="A22" s="43"/>
      <c r="B22" s="43"/>
      <c r="C22" s="165"/>
      <c r="D22" s="165"/>
      <c r="E22" s="165"/>
      <c r="F22" s="43"/>
    </row>
    <row r="23" spans="1:6" ht="15" customHeight="1">
      <c r="A23" s="43"/>
      <c r="B23" s="43"/>
      <c r="C23" s="165"/>
      <c r="D23" s="165"/>
      <c r="E23" s="165"/>
      <c r="F23" s="43"/>
    </row>
    <row r="24" spans="1:7" ht="15.75">
      <c r="A24" s="28"/>
      <c r="B24" s="167" t="s">
        <v>112</v>
      </c>
      <c r="C24" s="168">
        <f>SUM(C10:C23)</f>
        <v>0</v>
      </c>
      <c r="D24" s="168">
        <f>SUM(D10:D23)</f>
        <v>0</v>
      </c>
      <c r="E24" s="168">
        <f>SUM(E10:E23)</f>
        <v>0</v>
      </c>
      <c r="F24" s="169"/>
      <c r="G24" s="54"/>
    </row>
    <row r="25" spans="1:7" ht="15.75">
      <c r="A25" s="28"/>
      <c r="B25" s="170" t="s">
        <v>467</v>
      </c>
      <c r="C25" s="171"/>
      <c r="D25" s="172"/>
      <c r="E25" s="172"/>
      <c r="F25" s="169"/>
      <c r="G25" s="54"/>
    </row>
    <row r="26" spans="1:7" ht="15.75">
      <c r="A26" s="28"/>
      <c r="B26" s="167" t="s">
        <v>134</v>
      </c>
      <c r="C26" s="168">
        <f>C24</f>
        <v>0</v>
      </c>
      <c r="D26" s="168">
        <f>SUM(D24-D25)</f>
        <v>0</v>
      </c>
      <c r="E26" s="168">
        <f>SUM(E24-E25)</f>
        <v>0</v>
      </c>
      <c r="F26" s="169"/>
      <c r="G26" s="54"/>
    </row>
    <row r="27" spans="1:7" ht="15.75">
      <c r="A27" s="19"/>
      <c r="B27" s="19"/>
      <c r="C27" s="19"/>
      <c r="D27" s="90"/>
      <c r="E27" s="90"/>
      <c r="F27" s="90"/>
      <c r="G27" s="54"/>
    </row>
    <row r="28" spans="1:7" ht="15.75">
      <c r="A28" s="19"/>
      <c r="B28" s="19"/>
      <c r="C28" s="19"/>
      <c r="D28" s="90"/>
      <c r="E28" s="90"/>
      <c r="F28" s="90"/>
      <c r="G28" s="54"/>
    </row>
    <row r="29" spans="1:7" ht="15.75">
      <c r="A29" s="315" t="s">
        <v>471</v>
      </c>
      <c r="B29" s="316" t="str">
        <f>CONCATENATE("Adjustments are required only if the transfer is being made in ",D9," and/or ",E9," from a non-budgeted fund.")</f>
        <v>Adjustments are required only if the transfer is being made in -1 and/or 0 from a non-budgeted fund.</v>
      </c>
      <c r="C29" s="19"/>
      <c r="D29" s="90"/>
      <c r="E29" s="90"/>
      <c r="F29" s="90"/>
      <c r="G29" s="54"/>
    </row>
    <row r="30" spans="1:7" ht="15.75">
      <c r="A30" s="54"/>
      <c r="B30" s="54"/>
      <c r="C30" s="54"/>
      <c r="D30" s="54"/>
      <c r="E30" s="54"/>
      <c r="F30" s="54"/>
      <c r="G30" s="54"/>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N74" sqref="N74"/>
    </sheetView>
  </sheetViews>
  <sheetFormatPr defaultColWidth="8.796875" defaultRowHeight="15"/>
  <cols>
    <col min="1" max="1" width="71.09765625" style="54" customWidth="1"/>
    <col min="2" max="16384" width="8.8984375" style="54" customWidth="1"/>
  </cols>
  <sheetData>
    <row r="1" ht="18.75">
      <c r="A1" s="400" t="s">
        <v>223</v>
      </c>
    </row>
    <row r="2" ht="15.75">
      <c r="A2" s="5"/>
    </row>
    <row r="3" ht="47.25">
      <c r="A3" s="401" t="s">
        <v>224</v>
      </c>
    </row>
    <row r="4" ht="15.75">
      <c r="A4" s="402"/>
    </row>
    <row r="5" ht="15.75">
      <c r="A5" s="5"/>
    </row>
    <row r="6" ht="63">
      <c r="A6" s="401" t="s">
        <v>225</v>
      </c>
    </row>
    <row r="7" ht="15.75">
      <c r="A7" s="402"/>
    </row>
    <row r="8" ht="15.75">
      <c r="A8" s="5"/>
    </row>
    <row r="9" ht="47.25">
      <c r="A9" s="401" t="s">
        <v>226</v>
      </c>
    </row>
    <row r="10" ht="15.75">
      <c r="A10" s="402"/>
    </row>
    <row r="11" ht="15.75">
      <c r="A11" s="402"/>
    </row>
    <row r="12" ht="31.5">
      <c r="A12" s="401" t="s">
        <v>227</v>
      </c>
    </row>
    <row r="13" ht="15.75">
      <c r="A13" s="5"/>
    </row>
    <row r="14" ht="15.75">
      <c r="A14" s="5"/>
    </row>
    <row r="15" ht="47.25">
      <c r="A15" s="401" t="s">
        <v>228</v>
      </c>
    </row>
    <row r="16" ht="15.75">
      <c r="A16" s="5"/>
    </row>
    <row r="17" ht="15.75">
      <c r="A17" s="5"/>
    </row>
    <row r="18" ht="63">
      <c r="A18" s="403" t="s">
        <v>555</v>
      </c>
    </row>
    <row r="19" ht="15.75">
      <c r="A19" s="5"/>
    </row>
    <row r="20" ht="15.75">
      <c r="A20" s="5"/>
    </row>
    <row r="21" ht="63">
      <c r="A21" s="404" t="s">
        <v>229</v>
      </c>
    </row>
    <row r="22" ht="15.75">
      <c r="A22" s="402"/>
    </row>
    <row r="23" ht="15.75">
      <c r="A23" s="5"/>
    </row>
    <row r="24" ht="63">
      <c r="A24" s="401" t="s">
        <v>230</v>
      </c>
    </row>
    <row r="25" ht="47.25">
      <c r="A25" s="405" t="s">
        <v>231</v>
      </c>
    </row>
    <row r="26" ht="15.75">
      <c r="A26" s="402"/>
    </row>
    <row r="27" ht="15.75">
      <c r="A27" s="5"/>
    </row>
    <row r="28" ht="63">
      <c r="A28" s="403" t="s">
        <v>556</v>
      </c>
    </row>
    <row r="29" ht="15.75">
      <c r="A29" s="5"/>
    </row>
    <row r="30" ht="15.75">
      <c r="A30" s="5"/>
    </row>
    <row r="31" ht="78.75">
      <c r="A31" s="403" t="s">
        <v>557</v>
      </c>
    </row>
    <row r="32" ht="15.75">
      <c r="A32" s="5"/>
    </row>
    <row r="33" ht="15.75">
      <c r="A33" s="5"/>
    </row>
    <row r="34" ht="47.25">
      <c r="A34" s="406" t="s">
        <v>558</v>
      </c>
    </row>
    <row r="35" ht="15.75">
      <c r="A35" s="5"/>
    </row>
    <row r="36" ht="15.75">
      <c r="A36" s="5"/>
    </row>
    <row r="37" ht="78.75">
      <c r="A37" s="401" t="s">
        <v>232</v>
      </c>
    </row>
    <row r="38" ht="15.75">
      <c r="A38" s="402"/>
    </row>
    <row r="39" ht="15.75">
      <c r="A39" s="402"/>
    </row>
    <row r="40" ht="47.25">
      <c r="A40" s="404" t="s">
        <v>233</v>
      </c>
    </row>
    <row r="41" ht="15.75">
      <c r="A41" s="40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Rbasinge</cp:lastModifiedBy>
  <cp:lastPrinted>2015-10-01T18:33:15Z</cp:lastPrinted>
  <dcterms:created xsi:type="dcterms:W3CDTF">1999-08-06T13:59:57Z</dcterms:created>
  <dcterms:modified xsi:type="dcterms:W3CDTF">2016-06-05T15:25:14Z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