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9630" windowHeight="2655" tabRatio="930" activeTab="0"/>
  </bookViews>
  <sheets>
    <sheet name="instructions" sheetId="1" r:id="rId1"/>
    <sheet name="inputPrYr" sheetId="2" r:id="rId2"/>
    <sheet name="inputOth" sheetId="3" r:id="rId3"/>
    <sheet name="inputBudSum" sheetId="4" r:id="rId4"/>
    <sheet name="cert" sheetId="5" r:id="rId5"/>
    <sheet name="cert2" sheetId="6" r:id="rId6"/>
    <sheet name="computation" sheetId="7" r:id="rId7"/>
    <sheet name="mvalloc" sheetId="8" r:id="rId8"/>
    <sheet name="transfers" sheetId="9" r:id="rId9"/>
    <sheet name="TransfersStatutes" sheetId="10" r:id="rId10"/>
    <sheet name="debt" sheetId="11" r:id="rId11"/>
    <sheet name="lpform" sheetId="12" r:id="rId12"/>
    <sheet name="general" sheetId="13" r:id="rId13"/>
    <sheet name="gen-detail" sheetId="14" r:id="rId14"/>
    <sheet name="DebtService" sheetId="15" r:id="rId15"/>
    <sheet name="road" sheetId="16" r:id="rId16"/>
    <sheet name="road-detail" sheetId="17" r:id="rId17"/>
    <sheet name="levy page10" sheetId="18" r:id="rId18"/>
    <sheet name="levy page11" sheetId="19" r:id="rId19"/>
    <sheet name="levy page12" sheetId="20" r:id="rId20"/>
    <sheet name="levy page13" sheetId="21" r:id="rId21"/>
    <sheet name="levy page14" sheetId="22" r:id="rId22"/>
    <sheet name="levy page15" sheetId="23" r:id="rId23"/>
    <sheet name="levy page16" sheetId="24" r:id="rId24"/>
    <sheet name="levy page17" sheetId="25" r:id="rId25"/>
    <sheet name="levy page18" sheetId="26" r:id="rId26"/>
    <sheet name="levy page19" sheetId="27" r:id="rId27"/>
    <sheet name="levy page20" sheetId="28" r:id="rId28"/>
    <sheet name="no levy page21" sheetId="29" r:id="rId29"/>
    <sheet name="no levy page22" sheetId="30" r:id="rId30"/>
    <sheet name="no levy page23" sheetId="31" r:id="rId31"/>
    <sheet name="no levy page24" sheetId="32" r:id="rId32"/>
    <sheet name="no levy page25" sheetId="33" r:id="rId33"/>
    <sheet name="NonBud" sheetId="34" r:id="rId34"/>
    <sheet name="NonBudFunds" sheetId="35" r:id="rId35"/>
    <sheet name="summ" sheetId="36" r:id="rId36"/>
    <sheet name="summ2" sheetId="37" r:id="rId37"/>
    <sheet name="Nhood" sheetId="38" r:id="rId38"/>
    <sheet name="Pub. Notice Option 1" sheetId="39" r:id="rId39"/>
    <sheet name="Pub. Notice Option 2" sheetId="40" r:id="rId40"/>
    <sheet name="Pub. Notice Option 3" sheetId="41" r:id="rId41"/>
    <sheet name="Resolution" sheetId="42" r:id="rId42"/>
    <sheet name="Tab A" sheetId="43" r:id="rId43"/>
    <sheet name="Tab B" sheetId="44" r:id="rId44"/>
    <sheet name="Tab C" sheetId="45" r:id="rId45"/>
    <sheet name="Tab D" sheetId="46" r:id="rId46"/>
    <sheet name="Tab E" sheetId="47" r:id="rId47"/>
    <sheet name="Mill Rate Computation" sheetId="48" r:id="rId48"/>
    <sheet name="Helpful Links" sheetId="49" r:id="rId49"/>
    <sheet name="legend" sheetId="50" r:id="rId50"/>
  </sheets>
  <definedNames>
    <definedName name="_xlnm.Print_Area" localSheetId="14">'DebtService'!$B$1:$E$61</definedName>
    <definedName name="_xlnm.Print_Area" localSheetId="1">'inputPrYr'!$A$1:$F$97</definedName>
    <definedName name="_xlnm.Print_Area" localSheetId="0">'instructions'!$A$1:$A$108</definedName>
    <definedName name="_xlnm.Print_Area" localSheetId="17">'levy page10'!$A$1:$E$90</definedName>
    <definedName name="_xlnm.Print_Area" localSheetId="18">'levy page11'!$A$1:$E$98</definedName>
    <definedName name="_xlnm.Print_Area" localSheetId="19">'levy page12'!$A$1:$E$90</definedName>
    <definedName name="_xlnm.Print_Area" localSheetId="20">'levy page13'!$A$1:$E$90</definedName>
    <definedName name="_xlnm.Print_Area" localSheetId="21">'levy page14'!$A$1:$E$90</definedName>
    <definedName name="_xlnm.Print_Area" localSheetId="22">'levy page15'!$A$1:$E$90</definedName>
    <definedName name="_xlnm.Print_Area" localSheetId="23">'levy page16'!$A$1:$E$90</definedName>
    <definedName name="_xlnm.Print_Area" localSheetId="24">'levy page17'!$A$1:$E$90</definedName>
    <definedName name="_xlnm.Print_Area" localSheetId="25">'levy page18'!$A$1:$E$90</definedName>
    <definedName name="_xlnm.Print_Area" localSheetId="26">'levy page19'!$A$1:$E$90</definedName>
    <definedName name="_xlnm.Print_Area" localSheetId="27">'levy page20'!$A$1:$E$98</definedName>
    <definedName name="_xlnm.Print_Area" localSheetId="7">'mvalloc'!$A$1:$J$59</definedName>
    <definedName name="_xlnm.Print_Area" localSheetId="41">'Resolution'!$B$5:$B$16</definedName>
    <definedName name="_xlnm.Print_Area" localSheetId="15">'road'!$B$1:$E$122</definedName>
    <definedName name="_xlnm.Print_Area" localSheetId="35">'summ'!$A$1:$H$68</definedName>
  </definedNames>
  <calcPr fullCalcOnLoad="1"/>
</workbook>
</file>

<file path=xl/sharedStrings.xml><?xml version="1.0" encoding="utf-8"?>
<sst xmlns="http://schemas.openxmlformats.org/spreadsheetml/2006/main" count="2491" uniqueCount="982">
  <si>
    <t>9. Changed the Budget Summary Heading to include Actual/Estimate/Proposed with the budget year.</t>
  </si>
  <si>
    <t>10. Changed the delinquency rate formula for all levy funds.</t>
  </si>
  <si>
    <t>11. Changed the Certificate page so the county name flows instead of having unneeded spaces.</t>
  </si>
  <si>
    <t>12. Using the actual ad valorem rates from the Clerk's information versus from the Certificate page.</t>
  </si>
  <si>
    <t>13. Delinquency rate for actual for 3 decimal and note that rate can be up to 5% over the actual rate.</t>
  </si>
  <si>
    <t>14. Computation to Determine Limit changed the note on bottom to include publish ordinance and attach the published ordinance to the budget.</t>
  </si>
  <si>
    <t>15. Add total section for Schedule of Transfers and linked the total to the Budget Summary page.</t>
  </si>
  <si>
    <t>16. Added column to show when debt retired on the Indebtedness page.</t>
  </si>
  <si>
    <t>17. Certificate (2) added (2) after Certificate at top of page, removed the certification at the top, and added column for Nov 1 valuation.</t>
  </si>
  <si>
    <t>20. Budget Summary changed the sentence "will meet…" so the year automatically changes.</t>
  </si>
  <si>
    <t>21. Added one non-budgeted pages.</t>
  </si>
  <si>
    <t>22. On the Budget Summary page (2) added column for July1 valuation and computation to compute mil rates.</t>
  </si>
  <si>
    <t>23. Added note on General and Road Detail page to ensure amounts agree with Subtotals on General and Road.</t>
  </si>
  <si>
    <t>24. Added to instructions about non-appropriated balance limited to 5%.</t>
  </si>
  <si>
    <t xml:space="preserve">General Instructions </t>
  </si>
  <si>
    <t>To print the spreadsheets, you can either print one sheet at a time or all of the sheets at once.</t>
  </si>
  <si>
    <t>Computer Spreadsheet Preparation</t>
  </si>
  <si>
    <t>Statute</t>
  </si>
  <si>
    <t>General</t>
  </si>
  <si>
    <t>Total</t>
  </si>
  <si>
    <t>Motor Vehicle Tax Estimate</t>
  </si>
  <si>
    <t>Recreational Vehicle Tax Estimate</t>
  </si>
  <si>
    <t>certify that: (1) the hearing mentioned in the attached publication was held;</t>
  </si>
  <si>
    <t>(2) after the Budget Hearing this budget was duly approved and adopted as the</t>
  </si>
  <si>
    <t>Page</t>
  </si>
  <si>
    <t>County Clerk's</t>
  </si>
  <si>
    <t>Table of Contents:</t>
  </si>
  <si>
    <t>No.</t>
  </si>
  <si>
    <t>Expenditures</t>
  </si>
  <si>
    <t>Use Only</t>
  </si>
  <si>
    <t>Statement of Indebtedness</t>
  </si>
  <si>
    <t>Statement of Lease-Purchases</t>
  </si>
  <si>
    <t>Fund</t>
  </si>
  <si>
    <t>K.S.A.</t>
  </si>
  <si>
    <t>TOTALS</t>
  </si>
  <si>
    <t>x</t>
  </si>
  <si>
    <t>Assisted by:</t>
  </si>
  <si>
    <t>Governing Body</t>
  </si>
  <si>
    <t>County Clerk</t>
  </si>
  <si>
    <t>Amount</t>
  </si>
  <si>
    <t>Mental Health</t>
  </si>
  <si>
    <t>Hospital</t>
  </si>
  <si>
    <t>TOTAL</t>
  </si>
  <si>
    <t>County Treas Motor Vehicle Estimate</t>
  </si>
  <si>
    <t>Motor Vehicle Factor</t>
  </si>
  <si>
    <t>MVT</t>
  </si>
  <si>
    <t>Totals</t>
  </si>
  <si>
    <t>District Court</t>
  </si>
  <si>
    <t>Juvenile Detention</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</si>
  <si>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</si>
  <si>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</si>
  <si>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</si>
  <si>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</si>
  <si>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</si>
  <si>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</si>
  <si>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</si>
  <si>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</si>
  <si>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</si>
  <si>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</si>
  <si>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</si>
  <si>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</si>
  <si>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 xml:space="preserve">General </t>
  </si>
  <si>
    <t>Expenditures:</t>
  </si>
  <si>
    <t>Total Expenditures</t>
  </si>
  <si>
    <t>Tax Required</t>
  </si>
  <si>
    <t>%</t>
  </si>
  <si>
    <t>General Fund - Detail Expend</t>
  </si>
  <si>
    <t>General Administration</t>
  </si>
  <si>
    <t xml:space="preserve">  Salaries</t>
  </si>
  <si>
    <t xml:space="preserve">  Contractual</t>
  </si>
  <si>
    <t xml:space="preserve">  Commodities</t>
  </si>
  <si>
    <t xml:space="preserve">  Capital Outlay</t>
  </si>
  <si>
    <t>Airport</t>
  </si>
  <si>
    <t>Alcohol &amp; Drug Abuse</t>
  </si>
  <si>
    <t>Ambulance</t>
  </si>
  <si>
    <t>Animal Control</t>
  </si>
  <si>
    <t>Appraisal</t>
  </si>
  <si>
    <t>Building</t>
  </si>
  <si>
    <t>County Attorney/Counselor</t>
  </si>
  <si>
    <t>County Commission</t>
  </si>
  <si>
    <t>County Treasurer</t>
  </si>
  <si>
    <t>Debt Service</t>
  </si>
  <si>
    <t xml:space="preserve">  Principal</t>
  </si>
  <si>
    <t xml:space="preserve">  Interest</t>
  </si>
  <si>
    <t xml:space="preserve">  Commission</t>
  </si>
  <si>
    <t>Economic Development</t>
  </si>
  <si>
    <t>Election</t>
  </si>
  <si>
    <t>Emergency Services</t>
  </si>
  <si>
    <t>Employee Benefits</t>
  </si>
  <si>
    <t xml:space="preserve">  Social Security</t>
  </si>
  <si>
    <t xml:space="preserve">  Medicare</t>
  </si>
  <si>
    <t xml:space="preserve">  Health Insurance</t>
  </si>
  <si>
    <t xml:space="preserve">  Retirement</t>
  </si>
  <si>
    <t xml:space="preserve">  Workers Compensation</t>
  </si>
  <si>
    <t xml:space="preserve">  Unemployment</t>
  </si>
  <si>
    <t>Extension Council</t>
  </si>
  <si>
    <t>Fair</t>
  </si>
  <si>
    <t>Fire</t>
  </si>
  <si>
    <t>Health</t>
  </si>
  <si>
    <t>Historical</t>
  </si>
  <si>
    <t>Law Enforcement</t>
  </si>
  <si>
    <t>Library</t>
  </si>
  <si>
    <t>Memorial</t>
  </si>
  <si>
    <t>Mental Retardation</t>
  </si>
  <si>
    <t>Noxious Weed Control</t>
  </si>
  <si>
    <t>Park &amp; Recreation</t>
  </si>
  <si>
    <t>Register of Deeds</t>
  </si>
  <si>
    <t>Road &amp; Bridge</t>
  </si>
  <si>
    <t>Services for the Aged</t>
  </si>
  <si>
    <t>Soil Conservation</t>
  </si>
  <si>
    <t>Solid Waste</t>
  </si>
  <si>
    <t>Tort Liability</t>
  </si>
  <si>
    <t xml:space="preserve">  Judgments</t>
  </si>
  <si>
    <t>Cultural</t>
  </si>
  <si>
    <t>Other</t>
  </si>
  <si>
    <t>Page No.</t>
  </si>
  <si>
    <t>Actual</t>
  </si>
  <si>
    <t>Est.</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</si>
  <si>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</si>
  <si>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</si>
  <si>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</si>
  <si>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</si>
  <si>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</si>
  <si>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</si>
  <si>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</si>
  <si>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</si>
  <si>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</si>
  <si>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</si>
  <si>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</si>
  <si>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</si>
  <si>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Clerk</t>
  </si>
  <si>
    <t>Other District Funds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</si>
  <si>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</si>
  <si>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</si>
  <si>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</si>
  <si>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</si>
  <si>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</si>
  <si>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</si>
  <si>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</si>
  <si>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</si>
  <si>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</si>
  <si>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</si>
  <si>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</si>
  <si>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</si>
  <si>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</si>
  <si>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</si>
  <si>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</si>
  <si>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</si>
  <si>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</si>
  <si>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</si>
  <si>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</si>
  <si>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</si>
  <si>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</si>
  <si>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(Months)</t>
  </si>
  <si>
    <t>16/20 M Vehicle Tax</t>
  </si>
  <si>
    <t>CERTIFICATE</t>
  </si>
  <si>
    <t>STATEMENT OF CONDITIONAL LEASE-PURCHASE AND CERTIFICATE OF PARTICIPATION*</t>
  </si>
  <si>
    <t>NOTICE OF BUDGET HEARING</t>
  </si>
  <si>
    <t>BUDGET SUMMARY</t>
  </si>
  <si>
    <t>FUND PAGE - GENERAL</t>
  </si>
  <si>
    <t>FUND PAGE - GENERAL DETAIL</t>
  </si>
  <si>
    <t>FUND PAGE - ROAD</t>
  </si>
  <si>
    <t>FUND PAGE FOR FUNDS WITH A TAX LEVY</t>
  </si>
  <si>
    <t>FUND PAGE FOR FUNDS WITH NO TAX LEVY</t>
  </si>
  <si>
    <t>STATEMENT OF INDEBTEDNESS</t>
  </si>
  <si>
    <t>RVT</t>
  </si>
  <si>
    <t>16/20M Vehicle Tax Estimate</t>
  </si>
  <si>
    <t>Amount of Levy</t>
  </si>
  <si>
    <t xml:space="preserve"> 1.</t>
  </si>
  <si>
    <t>+</t>
  </si>
  <si>
    <t>$</t>
  </si>
  <si>
    <t xml:space="preserve"> 2.</t>
  </si>
  <si>
    <t>-</t>
  </si>
  <si>
    <t xml:space="preserve"> 3.</t>
  </si>
  <si>
    <t xml:space="preserve"> 4.</t>
  </si>
  <si>
    <t xml:space="preserve"> 5.</t>
  </si>
  <si>
    <t>5a.</t>
  </si>
  <si>
    <t>5b.</t>
  </si>
  <si>
    <t>5c.</t>
  </si>
  <si>
    <t>6.</t>
  </si>
  <si>
    <t>9.</t>
  </si>
  <si>
    <t>10.</t>
  </si>
  <si>
    <t>11.</t>
  </si>
  <si>
    <t>12.</t>
  </si>
  <si>
    <t>(Use Only if &gt; 0)</t>
  </si>
  <si>
    <t>16/20M Vehicle Tax</t>
  </si>
  <si>
    <t xml:space="preserve">The governing body of </t>
  </si>
  <si>
    <t>Gross Earnings (Intangible) Tax</t>
  </si>
  <si>
    <t>7.</t>
  </si>
  <si>
    <t>8.</t>
  </si>
  <si>
    <t>Balance On</t>
  </si>
  <si>
    <t>16/20M Veh</t>
  </si>
  <si>
    <t>13.</t>
  </si>
  <si>
    <t>14.</t>
  </si>
  <si>
    <t>Unencumbered Cash Balance Jan 1</t>
  </si>
  <si>
    <t>Unencumbered Cash Balance Dec 31</t>
  </si>
  <si>
    <t>Receipts:</t>
  </si>
  <si>
    <t xml:space="preserve">Enter information  in all areas that are green if they apply to the budget you are preparing. </t>
  </si>
  <si>
    <t>79-1946</t>
  </si>
  <si>
    <t>Schedule of Transfers</t>
  </si>
  <si>
    <t>Outstanding</t>
  </si>
  <si>
    <t>(Beginning Principal)</t>
  </si>
  <si>
    <t>Estimated Tax Rate is subject to change depending on the final assessed valuation.</t>
  </si>
  <si>
    <t>Lease Pur. Princ.</t>
  </si>
  <si>
    <t>Current</t>
  </si>
  <si>
    <t>Proposed</t>
  </si>
  <si>
    <t xml:space="preserve">Authorized by </t>
  </si>
  <si>
    <t xml:space="preserve">                                                                         16/20M Vehicle Factor</t>
  </si>
  <si>
    <t xml:space="preserve">                                        Recreational Vehicle Factor</t>
  </si>
  <si>
    <t>Page No. 7</t>
  </si>
  <si>
    <t>Page No. 7a</t>
  </si>
  <si>
    <t>Total - Page 7b</t>
  </si>
  <si>
    <t>Total - Page 7c</t>
  </si>
  <si>
    <t>Total - Page 7d</t>
  </si>
  <si>
    <t>Total - Page 7e</t>
  </si>
  <si>
    <t>Total  - Page 7f</t>
  </si>
  <si>
    <t>Total - Page7b</t>
  </si>
  <si>
    <t>When the page numbers are changed on the fund pages, the Certificate page will also be changed.</t>
  </si>
  <si>
    <t>Address:</t>
  </si>
  <si>
    <t>County Clerk's Use Only</t>
  </si>
  <si>
    <t xml:space="preserve">Counties can use the county.xls or county1.xls files.   You must choose a form that meets the needs for the number of funds.  If you don't need all the funds, just leave the pages blank and number the completed pages sequentially. </t>
  </si>
  <si>
    <t>Information comes from the Certificate, Page No. 1</t>
  </si>
  <si>
    <t>10-113</t>
  </si>
  <si>
    <t>Other (non-tax) fund names:</t>
  </si>
  <si>
    <t xml:space="preserve"> Expenditures</t>
  </si>
  <si>
    <t>From:</t>
  </si>
  <si>
    <t xml:space="preserve">  To:</t>
  </si>
  <si>
    <t>Amount for</t>
  </si>
  <si>
    <t>Transfers</t>
  </si>
  <si>
    <t>Adjusted Totals</t>
  </si>
  <si>
    <t>We, the undersigned, officers of</t>
  </si>
  <si>
    <t>In Lieu of Tax (IRB)</t>
  </si>
  <si>
    <t>Neighborhood Revitalization</t>
  </si>
  <si>
    <t>LAVTR</t>
  </si>
  <si>
    <t>City and County Revenue Sharing</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</si>
  <si>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</si>
  <si>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</si>
  <si>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Beginning Amount</t>
  </si>
  <si>
    <t xml:space="preserve">of </t>
  </si>
  <si>
    <t>Retirement</t>
  </si>
  <si>
    <t xml:space="preserve">Total Other </t>
  </si>
  <si>
    <t>Valuation</t>
  </si>
  <si>
    <t>Fund Names for all funds with a tax levy:</t>
  </si>
  <si>
    <t>Special City &amp; County Highway</t>
  </si>
  <si>
    <t>County Equalization</t>
  </si>
  <si>
    <t>Expenditures from detail page:</t>
  </si>
  <si>
    <t>Other Expenditures:</t>
  </si>
  <si>
    <t>Outstanding Indebtness, January 1:</t>
  </si>
  <si>
    <t xml:space="preserve">  G.O. Bonds</t>
  </si>
  <si>
    <t xml:space="preserve">  Revenue Bonds</t>
  </si>
  <si>
    <t xml:space="preserve">  Other</t>
  </si>
  <si>
    <t xml:space="preserve">  Lease Purchase Principal</t>
  </si>
  <si>
    <t>(1) Fund Name:</t>
  </si>
  <si>
    <t>(2) Fund Name:</t>
  </si>
  <si>
    <t>(3) Fund Name:</t>
  </si>
  <si>
    <t>(4) Fund Name:</t>
  </si>
  <si>
    <t>(5) Fund Name:</t>
  </si>
  <si>
    <t xml:space="preserve">Unencumbered </t>
  </si>
  <si>
    <t>Cash Balance Dec 31</t>
  </si>
  <si>
    <t>Non-Budgeted Funds</t>
  </si>
  <si>
    <t>Non-Budgeted Funds:</t>
  </si>
  <si>
    <t xml:space="preserve">  Subtotal </t>
  </si>
  <si>
    <r>
      <t>**</t>
    </r>
    <r>
      <rPr>
        <sz val="12"/>
        <rFont val="Times New Roman"/>
        <family val="1"/>
      </rPr>
      <t xml:space="preserve">Note:  The Detail Total Expenditures should match to the General Subtotal.  </t>
    </r>
  </si>
  <si>
    <r>
      <t>Total Expenditures</t>
    </r>
    <r>
      <rPr>
        <sz val="12"/>
        <color indexed="10"/>
        <rFont val="Times New Roman"/>
        <family val="1"/>
      </rPr>
      <t>**</t>
    </r>
  </si>
  <si>
    <t xml:space="preserve">  Total Detail Page**</t>
  </si>
  <si>
    <t>November 1st</t>
  </si>
  <si>
    <t>Other Country</t>
  </si>
  <si>
    <t>Special District Funds</t>
  </si>
  <si>
    <t>CERTIFICATE (2)</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</si>
  <si>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</si>
  <si>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</si>
  <si>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</si>
  <si>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</si>
  <si>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All dollar amounts should be rounded to whole dollars (do not record cents).</t>
  </si>
  <si>
    <t>The blue areas indicated where the information comes from to complete the section input.</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</si>
  <si>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</si>
  <si>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</si>
  <si>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3. Hard coded the Bond &amp; Interest, and Road &amp; Bridge on Certificate and Summary pages. </t>
  </si>
  <si>
    <t xml:space="preserve">7. Now have the indebtedness prior year added to the input page and link with the budget summary page. </t>
  </si>
  <si>
    <t>Budget Summary</t>
  </si>
  <si>
    <t>Attest: _____________________,</t>
  </si>
  <si>
    <t xml:space="preserve">NON-BUDGETED FUNDS </t>
  </si>
  <si>
    <t>**</t>
  </si>
  <si>
    <r>
      <t xml:space="preserve"> </t>
    </r>
    <r>
      <rPr>
        <b/>
        <sz val="12"/>
        <rFont val="Times New Roman"/>
        <family val="1"/>
      </rPr>
      <t xml:space="preserve"> Subtotal</t>
    </r>
  </si>
  <si>
    <t>**Note:  Total Detail Page totals should be equal to Road Subtotal.</t>
  </si>
  <si>
    <t>**Note: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</si>
  <si>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</si>
  <si>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</si>
  <si>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</si>
  <si>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 xml:space="preserve">27. Added Slider to the Vehicle Allocation table and linked to the fund pages. </t>
  </si>
  <si>
    <t>xxxxxxxxxxxxxxxxxxxx</t>
  </si>
  <si>
    <t>Funds</t>
  </si>
  <si>
    <t xml:space="preserve">expenditure amounts should reflect the amended </t>
  </si>
  <si>
    <t>expenditure amounts.</t>
  </si>
  <si>
    <t>28. Added to all budgeted fund pages the budget authority for the actual year, budget violation, and cash violation.</t>
  </si>
  <si>
    <t>29. Added instruction on the addition for item 28.</t>
  </si>
  <si>
    <t xml:space="preserve">Tax Levy Rate </t>
  </si>
  <si>
    <t>Neighborhood Revitalization Rebate</t>
  </si>
  <si>
    <t>Miscellaneous</t>
  </si>
  <si>
    <t>Does miscellaneous exceed 10% of Total Expenditure</t>
  </si>
  <si>
    <t>Does miscellaneous exceed 10% of Total Receipts</t>
  </si>
  <si>
    <t>8. Added Neighborhood Revitalization, LAVTR, City and County Revenue Sharing, and Slider to the input page and to the General Fund page. Also added the NR to all tax levy fund pages.</t>
  </si>
  <si>
    <t xml:space="preserve">Ad Valorem Tax </t>
  </si>
  <si>
    <t>30. Added 'miscellaneous' category to the receipt/expenditure for all fund pages and set error message.</t>
  </si>
  <si>
    <t>31. Added to the instruction about correct the error message for the miscellaneous.</t>
  </si>
  <si>
    <t xml:space="preserve">The worksheets are named (see the tab) in each budget workbook.  We will identify the worksheet by referencing the tab in parentheses (i.e. General Fund reference would be 'general'). </t>
  </si>
  <si>
    <t>Budget Summary - Other</t>
  </si>
  <si>
    <t>32. Change cert2 and put page number 1a.</t>
  </si>
  <si>
    <t>FUND PAGE - ROAD &amp; BRIDGE DETAIL</t>
  </si>
  <si>
    <t>Red areas are for notes or indicate a problem area that will need possible corrective action taken.</t>
  </si>
  <si>
    <r>
      <t xml:space="preserve">The General fund has a detail page (gen-detail) which can be used to disclose more insight of the General Fund expenditures by a department.  The detail page department name and total is linked to the General Fund page. You do not have to use the department names that are currently showing, as these can be changed to meet the need of the county. The last detail page contains all the total of the detail pages and this total amount should agree with the subtotal on the General page. If the totals do not agree, then change the figures on the detail page and </t>
    </r>
    <r>
      <rPr>
        <b/>
        <sz val="12"/>
        <rFont val="Times New Roman"/>
        <family val="1"/>
      </rPr>
      <t>not</t>
    </r>
    <r>
      <rPr>
        <sz val="12"/>
        <rFont val="Times New Roman"/>
        <family val="1"/>
      </rPr>
      <t xml:space="preserve"> on the General page.  If the detail page is used, please ensure to print the detail page and attach it to the budget.</t>
    </r>
  </si>
  <si>
    <t>Administration</t>
  </si>
  <si>
    <t>Personal</t>
  </si>
  <si>
    <t>Rock</t>
  </si>
  <si>
    <t>Sealing</t>
  </si>
  <si>
    <t>Pavement</t>
  </si>
  <si>
    <t>All of the county's budgets should be submitted to Municipal Services by December 1.</t>
  </si>
  <si>
    <t>The Road &amp; Bridge fund has a detail page (road-detail) which can be used to disclose more insight of the Road &amp; Bridge department expenditures.  The detail page department and total is linked to the Road fund page. You do not have to use the department names that are currently showing, as these can be changed to meet the need of the county. The detail totals should agree to the Road &amp; Bridge fund page subtotals and if they do not, then make corrections on the detail page only.  If the detail page is used, please remember to print the page.</t>
  </si>
  <si>
    <t>1. Input tab (inputPrYr) added column for the current year expenditures.</t>
  </si>
  <si>
    <t>2. Statement of Indebtedness (debt) added lines to all categories.</t>
  </si>
  <si>
    <t xml:space="preserve">3. All tax levy funds and no tax levy funds fund pages made the following changes: </t>
  </si>
  <si>
    <r>
      <t>3a. Made the total expenditures block for the actual and current year to turn '</t>
    </r>
    <r>
      <rPr>
        <sz val="12"/>
        <color indexed="10"/>
        <rFont val="Times New Roman"/>
        <family val="1"/>
      </rPr>
      <t>Red</t>
    </r>
    <r>
      <rPr>
        <sz val="12"/>
        <rFont val="Times New Roman"/>
        <family val="1"/>
      </rPr>
      <t>' if violation occurs.</t>
    </r>
  </si>
  <si>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</si>
  <si>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</si>
  <si>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</si>
  <si>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t>6. Neighborhood Revitalization (nhood) made the estimate rebate round the figures to whole dollars.</t>
  </si>
  <si>
    <t xml:space="preserve">7. Instruction page have changed all reference for Bond &amp; Interest to Debt Service. </t>
  </si>
  <si>
    <t>7a. Added instruction line 4a to explain about no-fund warrants and temporary notes can be added to the debt service on the Computation to Determine Levy Limit.</t>
  </si>
  <si>
    <t>8. Added to the instruction page lines 10a - 10c to provide a little more insight for the Neighborhood Revitalization rebate.</t>
  </si>
  <si>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</si>
  <si>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</si>
  <si>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</si>
  <si>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9/03/08</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</si>
  <si>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</si>
  <si>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7b. Added instruction line 9c to explain more about the debt service fund page can included for debts.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</si>
  <si>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</si>
  <si>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</si>
  <si>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9h to 9j for additional edits for budget authority.</t>
  </si>
  <si>
    <t>Cash Balance Jan 1</t>
  </si>
  <si>
    <t>34. Added 'excluding oil, gas, and mobile homes' to lines 7 and 9 on Clerks budget info on tab inputoth.</t>
  </si>
  <si>
    <t>***If you are merely leasing/renting with no intent to purchase, do not list--such transactions are not lease-purchases.</t>
  </si>
  <si>
    <t>33. Expanded on the preparation of budget note 11 for instructions for the Notice of Budget Hearing.</t>
  </si>
  <si>
    <t>The following were changed to this spreadsheet on 5/08/2008</t>
  </si>
  <si>
    <t>1. Change Transfers tab footer from 'Page No. 5' to read 'Page No. 4'.</t>
  </si>
  <si>
    <t>2. Change Non-Budgeted Funds form from 'Only the actual budget year shown' to read 'Only the actual budget year for YYYY is to be shown'.</t>
  </si>
  <si>
    <t>3. Legend #33 change from 'note 10' to read 'note 11'.</t>
  </si>
  <si>
    <t>4. Changed revision date on the pages.</t>
  </si>
  <si>
    <t>The following were changed to this spreadsheet on 7/01/08</t>
  </si>
  <si>
    <t>2. Changed the formula for unencumbered cash balances for nonbud to show a negative balance.</t>
  </si>
  <si>
    <t>3. Added box under unencumbered cash balance for nonbud to reflect a negative ending cash balance.</t>
  </si>
  <si>
    <t>The Budget Summary Page</t>
  </si>
  <si>
    <t xml:space="preserve">County.xls spreadsheet has General Fund, Debt Service, Road &amp; Bridge, 22 levy fund pages, 10 no levy fund pages, and 5 non-budgeted funds. </t>
  </si>
  <si>
    <t>2b. If the county chooses not to use the delinquency rate for all tax levy funds, then the county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</si>
  <si>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 Added instructions to 9d for the nonbud tab explaining about negative cash balance.</t>
  </si>
  <si>
    <r>
      <t xml:space="preserve">Completed budgets may be submitted to Municipal Services on 3.5 computer disk, CD, or as an attachment to an email.  If submitting by email, please mail to the following address: </t>
    </r>
    <r>
      <rPr>
        <u val="single"/>
        <sz val="12"/>
        <rFont val="Times New Roman"/>
        <family val="1"/>
      </rPr>
      <t>armunis@da.ks.gov</t>
    </r>
    <r>
      <rPr>
        <sz val="12"/>
        <rFont val="Times New Roman"/>
        <family val="1"/>
      </rPr>
      <t xml:space="preserve">. Naming the files should start with 'co' for county, 'ci' for cities, 'to' for townships, and 'sp' for special districts.  </t>
    </r>
  </si>
  <si>
    <t xml:space="preserve">Additional Certificate (cert2) and Budget Summary (summ2) pages are available for adding Special Districts. If Special Districts are submitted with the county's budget, please ensure to include the Special Districts' Computation to Determine Levy Limit computation page, and fund pages. </t>
  </si>
  <si>
    <t>2. Input other tab line 26 changed from Budget Summary to Budget Certificate.</t>
  </si>
  <si>
    <t>1. Instruction under Submitting Budgets added 79-2926 requires electronic filing of the budget.</t>
  </si>
  <si>
    <t>1. Corrected all fund names as had wrong linked reference.</t>
  </si>
  <si>
    <t>Transfers - Counties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</si>
  <si>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</si>
  <si>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</si>
  <si>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1. InputPrYr tab added cell A13 'If amended….'</t>
  </si>
  <si>
    <t>2. Gen tab added year in cell G58</t>
  </si>
  <si>
    <t>3. Road tab added year in cell G60</t>
  </si>
  <si>
    <t>4. No levypage24 in cell C61 added conditional statement</t>
  </si>
  <si>
    <t>5. Added tab TransfersStatutes</t>
  </si>
  <si>
    <t>4. Changed foot note to reflect the changes made on 7/1/08 to the above tabs.</t>
  </si>
  <si>
    <t>25. Added warning "Exceeds 5%" on all fund pages for the non-appropriated balance.</t>
  </si>
  <si>
    <t>26. Add Neighborhood Revitalization link to tax levy fund pages.</t>
  </si>
  <si>
    <t>Non-Budgeted Funds - Counties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</si>
  <si>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</si>
  <si>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</si>
  <si>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</si>
  <si>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</si>
  <si>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sz val="12"/>
        <color indexed="8"/>
        <rFont val="Times New Roman"/>
        <family val="1"/>
      </rPr>
      <t xml:space="preserve">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</si>
  <si>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</si>
  <si>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19-119.</t>
    </r>
    <r>
      <rPr>
        <sz val="12"/>
        <color indexed="8"/>
        <rFont val="Times New Roman"/>
        <family val="1"/>
      </rPr>
      <t xml:space="preserve">  </t>
    </r>
    <r>
      <rPr>
        <b/>
        <sz val="12"/>
        <color indexed="8"/>
        <rFont val="Times New Roman"/>
        <family val="1"/>
      </rPr>
      <t xml:space="preserve">County equipment reserve fund. </t>
    </r>
    <r>
      <rPr>
        <sz val="12"/>
        <color indexed="8"/>
        <rFont val="Times New Roman"/>
        <family val="1"/>
      </rPr>
      <t xml:space="preserve"> Provides for the creation of a county equipment reserve fund to finance the acquisition of equipment.</t>
    </r>
  </si>
  <si>
    <r>
      <t xml:space="preserve">K.S.A. </t>
    </r>
    <r>
      <rPr>
        <b/>
        <sz val="12"/>
        <color indexed="8"/>
        <rFont val="Times New Roman"/>
        <family val="1"/>
      </rPr>
      <t>19-120.</t>
    </r>
    <r>
      <rPr>
        <sz val="12"/>
        <color indexed="8"/>
        <rFont val="Times New Roman"/>
        <family val="1"/>
      </rPr>
      <t xml:space="preserve">  </t>
    </r>
    <r>
      <rPr>
        <b/>
        <sz val="12"/>
        <color indexed="8"/>
        <rFont val="Times New Roman"/>
        <family val="1"/>
      </rPr>
      <t>Multi-year capital improvement fund.</t>
    </r>
    <r>
      <rPr>
        <sz val="12"/>
        <color indexed="8"/>
        <rFont val="Times New Roman"/>
        <family val="1"/>
      </rPr>
      <t xml:space="preserve">  (a)  The commissioners of any county with a multi-year capital improvement plan may establish a capital improvements fund.</t>
    </r>
  </si>
  <si>
    <r>
      <t xml:space="preserve">K.S.A. </t>
    </r>
    <r>
      <rPr>
        <b/>
        <sz val="12"/>
        <color indexed="8"/>
        <rFont val="Times New Roman"/>
        <family val="1"/>
      </rPr>
      <t>19-15,136.</t>
    </r>
    <r>
      <rPr>
        <sz val="12"/>
        <color indexed="8"/>
        <rFont val="Times New Roman"/>
        <family val="1"/>
      </rPr>
      <t xml:space="preserve">  </t>
    </r>
    <r>
      <rPr>
        <b/>
        <sz val="12"/>
        <color indexed="8"/>
        <rFont val="Times New Roman"/>
        <family val="1"/>
      </rPr>
      <t>Special building fund.</t>
    </r>
    <r>
      <rPr>
        <sz val="12"/>
        <color indexed="8"/>
        <rFont val="Times New Roman"/>
        <family val="1"/>
      </rPr>
      <t xml:space="preserve">  County commissioners may create a special building fund to act as the repository of proceeds from the sale of county home or farm property</t>
    </r>
  </si>
  <si>
    <r>
      <t xml:space="preserve">K.S.A. </t>
    </r>
    <r>
      <rPr>
        <b/>
        <sz val="12"/>
        <color indexed="8"/>
        <rFont val="Times New Roman"/>
        <family val="1"/>
      </rPr>
      <t>19-2120.</t>
    </r>
    <r>
      <rPr>
        <sz val="12"/>
        <color indexed="8"/>
        <rFont val="Times New Roman"/>
        <family val="1"/>
      </rPr>
      <t xml:space="preserve">  </t>
    </r>
    <r>
      <rPr>
        <b/>
        <sz val="12"/>
        <color indexed="8"/>
        <rFont val="Times New Roman"/>
        <family val="1"/>
      </rPr>
      <t>County home improvement fund in certain counties.</t>
    </r>
    <r>
      <rPr>
        <sz val="12"/>
        <color indexed="8"/>
        <rFont val="Times New Roman"/>
        <family val="1"/>
      </rPr>
      <t xml:space="preserve">  County commissioners in counties having a population of less than 3,000, or any county having a population of more than 5,400 and not more than 6,000 and an assessed tangible valuation of not less than $25,000,000 and not more than $35,000,000, owning a county home for the aged, shall place proceeds from its renting, leasing or letting into a county home improvement fund.</t>
    </r>
  </si>
  <si>
    <r>
      <t xml:space="preserve">[per </t>
    </r>
    <r>
      <rPr>
        <b/>
        <sz val="12"/>
        <rFont val="Times New Roman"/>
        <family val="1"/>
      </rPr>
      <t xml:space="preserve">K.S.A. </t>
    </r>
    <r>
      <rPr>
        <b/>
        <sz val="11"/>
        <color indexed="8"/>
        <rFont val="Arial"/>
        <family val="2"/>
      </rPr>
      <t>19-2121,</t>
    </r>
    <r>
      <rPr>
        <sz val="11"/>
        <color indexed="8"/>
        <rFont val="Arial"/>
        <family val="2"/>
      </rPr>
      <t xml:space="preserve"> such county home improvement fund shall not be subject to the provisions of K.S.A. 79-2925 to 79-2941 . . . .]</t>
    </r>
  </si>
  <si>
    <r>
      <t xml:space="preserve">K.S.A. </t>
    </r>
    <r>
      <rPr>
        <b/>
        <sz val="12"/>
        <color indexed="8"/>
        <rFont val="Times New Roman"/>
        <family val="1"/>
      </rPr>
      <t>44-505b.</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</si>
  <si>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</si>
  <si>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68-559a.</t>
    </r>
    <r>
      <rPr>
        <sz val="12"/>
        <color indexed="8"/>
        <rFont val="Times New Roman"/>
        <family val="1"/>
      </rPr>
      <t xml:space="preserve">   </t>
    </r>
    <r>
      <rPr>
        <b/>
        <sz val="12"/>
        <color indexed="8"/>
        <rFont val="Times New Roman"/>
        <family val="1"/>
      </rPr>
      <t>Special road and bridge fund.</t>
    </r>
    <r>
      <rPr>
        <sz val="12"/>
        <color indexed="8"/>
        <rFont val="Times New Roman"/>
        <family val="1"/>
      </rPr>
      <t xml:space="preserve">  Authorizes the creation of a special road and bridge fund and for funding of such through levy of an annual property tax of not to exceed two mills.</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</si>
  <si>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</si>
  <si>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</si>
  <si>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79-1482.</t>
    </r>
    <r>
      <rPr>
        <sz val="12"/>
        <color indexed="8"/>
        <rFont val="Times New Roman"/>
        <family val="1"/>
      </rPr>
      <t xml:space="preserve">  </t>
    </r>
    <r>
      <rPr>
        <b/>
        <sz val="12"/>
        <color indexed="8"/>
        <rFont val="Times New Roman"/>
        <family val="1"/>
      </rPr>
      <t>Special countywide reappraisal fund.</t>
    </r>
    <r>
      <rPr>
        <sz val="12"/>
        <color indexed="8"/>
        <rFont val="Times New Roman"/>
        <family val="1"/>
      </rPr>
      <t xml:space="preserve">  Counties may levy taxes and place the proceeds in a special countywide reappraisal fund to be used to pay costs associated with countywide reappraisal.</t>
    </r>
  </si>
  <si>
    <r>
      <t xml:space="preserve">K.S.A. </t>
    </r>
    <r>
      <rPr>
        <b/>
        <sz val="12"/>
        <color indexed="8"/>
        <rFont val="Times New Roman"/>
        <family val="1"/>
      </rPr>
      <t>79-1608.</t>
    </r>
    <r>
      <rPr>
        <sz val="12"/>
        <color indexed="8"/>
        <rFont val="Times New Roman"/>
        <family val="1"/>
      </rPr>
      <t xml:space="preserve">  </t>
    </r>
    <r>
      <rPr>
        <b/>
        <sz val="12"/>
        <color indexed="8"/>
        <rFont val="Times New Roman"/>
        <family val="1"/>
      </rPr>
      <t>Special appraisal fund.</t>
    </r>
    <r>
      <rPr>
        <sz val="12"/>
        <color indexed="8"/>
        <rFont val="Times New Roman"/>
        <family val="1"/>
      </rPr>
      <t xml:space="preserve">  Counties may create a special appraisal fund to be used for the purpose of assuring that all property in the county is classified and appraised according to law and for employment of or contracting for appraisal assistance, hearing officers or panels and arbitrators.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</si>
  <si>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</si>
  <si>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Counties may create non-budgeted funds for any gifts or bequests, and, for the operation of a county coliseum.</t>
    </r>
  </si>
  <si>
    <t xml:space="preserve">K.S.A. 79-2926 requires budgets be submitted by electronic means. </t>
  </si>
  <si>
    <t>6. Added tab NonBudFunds</t>
  </si>
  <si>
    <t>7. Added Tabs A to E for possible violations</t>
  </si>
  <si>
    <t>8. Instructions tab changed 9g to j for changes for possible violations on fund pages</t>
  </si>
  <si>
    <t>9. Deleted on all fund pages the 'Yes' and 'No' and replace with see tab for possible violations</t>
  </si>
  <si>
    <t>10. Instructions tab added line 6b to inform about TransferStatutes tab</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</si>
  <si>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</si>
  <si>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</si>
  <si>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12-196</t>
    </r>
    <r>
      <rPr>
        <sz val="12"/>
        <rFont val="Times New Roman"/>
        <family val="1"/>
      </rPr>
      <t xml:space="preserve">. </t>
    </r>
    <r>
      <rPr>
        <sz val="12"/>
        <color indexed="8"/>
        <rFont val="Times New Roman"/>
        <family val="1"/>
      </rPr>
      <t xml:space="preserve"> </t>
    </r>
    <r>
      <rPr>
        <b/>
        <sz val="12"/>
        <color indexed="8"/>
        <rFont val="Times New Roman"/>
        <family val="1"/>
      </rPr>
      <t>Transfer of sales tax proceeds.</t>
    </r>
    <r>
      <rPr>
        <sz val="12"/>
        <color indexed="8"/>
        <rFont val="Times New Roman"/>
        <family val="1"/>
      </rPr>
      <t xml:space="preserve">  The board of county commissioners may transfer any portion of the revenue received pursuant to K.S.A. 12-192 [countywide retailers sales tax] from the county general fund to the county road and bridge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</si>
  <si>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</si>
  <si>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</si>
  <si>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</si>
  <si>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 xml:space="preserve">.  </t>
    </r>
    <r>
      <rPr>
        <b/>
        <sz val="12"/>
        <color indexed="8"/>
        <rFont val="Times New Roman"/>
        <family val="1"/>
      </rPr>
      <t>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</si>
  <si>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K.S.A. 19-119</t>
    </r>
    <r>
      <rPr>
        <sz val="12"/>
        <rFont val="Times New Roman"/>
        <family val="1"/>
      </rPr>
      <t>.</t>
    </r>
    <r>
      <rPr>
        <b/>
        <sz val="12"/>
        <rFont val="Times New Roman"/>
        <family val="1"/>
      </rPr>
      <t xml:space="preserve">  Transfer to equipment reserve fund.</t>
    </r>
    <r>
      <rPr>
        <sz val="12"/>
        <rFont val="Times New Roman"/>
        <family val="1"/>
      </rPr>
      <t xml:space="preserve">  </t>
    </r>
    <r>
      <rPr>
        <sz val="12"/>
        <color indexed="8"/>
        <rFont val="Times New Roman"/>
        <family val="1"/>
      </rPr>
      <t>Moneys may be budgeted and transferred to an equipment reserve fund from any source which may be lawfully utilized for such purposes.</t>
    </r>
  </si>
  <si>
    <r>
      <t>K.S.A. 19-120</t>
    </r>
    <r>
      <rPr>
        <sz val="12"/>
        <color indexed="8"/>
        <rFont val="Times New Roman"/>
        <family val="1"/>
      </rPr>
      <t>.</t>
    </r>
    <r>
      <rPr>
        <b/>
        <sz val="12"/>
        <color indexed="8"/>
        <rFont val="Times New Roman"/>
        <family val="1"/>
      </rPr>
      <t xml:space="preserve">  Transfer to capital improvements fund.</t>
    </r>
    <r>
      <rPr>
        <sz val="12"/>
        <color indexed="8"/>
        <rFont val="Times New Roman"/>
        <family val="1"/>
      </rPr>
      <t xml:space="preserve">  Authorizes the budgeted transfer of moneys from other funds lawfully available for improvement purposes to the capital improvements fund, including moneys in the general fund.</t>
    </r>
  </si>
  <si>
    <r>
      <t xml:space="preserve">K.S.A. </t>
    </r>
    <r>
      <rPr>
        <b/>
        <sz val="12"/>
        <color indexed="8"/>
        <rFont val="Times New Roman"/>
        <family val="1"/>
      </rPr>
      <t>44-505b</t>
    </r>
    <r>
      <rPr>
        <sz val="12"/>
        <color indexed="8"/>
        <rFont val="Times New Roman"/>
        <family val="1"/>
      </rPr>
      <t xml:space="preserve">.  </t>
    </r>
    <r>
      <rPr>
        <b/>
        <sz val="12"/>
        <color indexed="8"/>
        <rFont val="Times New Roman"/>
        <family val="1"/>
      </rPr>
      <t>Transfer to worker’s compensation reserve fund.</t>
    </r>
    <r>
      <rPr>
        <sz val="12"/>
        <color indexed="8"/>
        <rFont val="Times New Roman"/>
        <family val="1"/>
      </rPr>
      <t xml:space="preserve">  Where a county chooses to act as a self-insurer under the worker’s compensation act it is authorized it is authorized to make transfers to a worker’s compensation reserve fund at any time by transfer of money from the road and bridge fund of said county in such amount as the board deems necessary.</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</si>
  <si>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</si>
  <si>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</si>
  <si>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</si>
  <si>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</si>
  <si>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</si>
  <si>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</si>
  <si>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11. NonBud tab changed the Net valuation to July 1</t>
  </si>
  <si>
    <t>12.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</si>
  <si>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</si>
  <si>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</si>
  <si>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</si>
  <si>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</si>
  <si>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</si>
  <si>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</si>
  <si>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</si>
  <si>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</si>
  <si>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</si>
  <si>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1. Instruction tab, added step 3 for 'inputBudSum'</t>
  </si>
  <si>
    <t>2. Added tab 'inputBudSum'</t>
  </si>
  <si>
    <t>3. Changed Budget Summary replacing the green areas for date/time/location so info comes from inputBudSum tab</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</si>
  <si>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</si>
  <si>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</si>
  <si>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</si>
  <si>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</si>
  <si>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</si>
  <si>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</si>
  <si>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</si>
  <si>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</si>
  <si>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</si>
  <si>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</si>
  <si>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</si>
  <si>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</si>
  <si>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</si>
  <si>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</si>
  <si>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</si>
  <si>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</si>
  <si>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</si>
  <si>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</si>
  <si>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</si>
  <si>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</si>
  <si>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</si>
  <si>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</si>
  <si>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</si>
  <si>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</si>
  <si>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</si>
  <si>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</si>
  <si>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</si>
  <si>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</si>
  <si>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</si>
  <si>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</si>
  <si>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</si>
  <si>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</si>
  <si>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</si>
  <si>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</si>
  <si>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</si>
  <si>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</si>
  <si>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</si>
  <si>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</si>
  <si>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</si>
  <si>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</si>
  <si>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</si>
  <si>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</si>
  <si>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</si>
  <si>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</si>
  <si>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</si>
  <si>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</si>
  <si>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</si>
  <si>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</si>
  <si>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</si>
  <si>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</si>
  <si>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</si>
  <si>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</si>
  <si>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</si>
  <si>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</si>
  <si>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</si>
  <si>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</si>
  <si>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</si>
  <si>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</si>
  <si>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</si>
  <si>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</si>
  <si>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</si>
  <si>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</si>
  <si>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</si>
  <si>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</si>
  <si>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</si>
  <si>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</si>
  <si>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</si>
  <si>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</si>
  <si>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</si>
  <si>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</si>
  <si>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</si>
  <si>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</si>
  <si>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</si>
  <si>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</si>
  <si>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</si>
  <si>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</si>
  <si>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</si>
  <si>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</si>
  <si>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</si>
  <si>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</si>
  <si>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</si>
  <si>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</si>
  <si>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</si>
  <si>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</si>
  <si>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</si>
  <si>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</si>
  <si>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</si>
  <si>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</si>
  <si>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</si>
  <si>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</si>
  <si>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</si>
  <si>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</si>
  <si>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</si>
  <si>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</si>
  <si>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</si>
  <si>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</si>
  <si>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</si>
  <si>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</si>
  <si>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</si>
  <si>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</si>
  <si>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</si>
  <si>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</si>
  <si>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</si>
  <si>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</si>
  <si>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</si>
  <si>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</si>
  <si>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</si>
  <si>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</si>
  <si>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</si>
  <si>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</si>
  <si>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</si>
  <si>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</si>
  <si>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</si>
  <si>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</si>
  <si>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</si>
  <si>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</si>
  <si>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</si>
  <si>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</si>
  <si>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</si>
  <si>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</si>
  <si>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</si>
  <si>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</si>
  <si>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</si>
  <si>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</si>
  <si>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</si>
  <si>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</si>
  <si>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</si>
  <si>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</si>
  <si>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</si>
  <si>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</si>
  <si>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</si>
  <si>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</si>
  <si>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</si>
  <si>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</si>
  <si>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</si>
  <si>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</si>
  <si>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</si>
  <si>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</si>
  <si>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</si>
  <si>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</si>
  <si>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</si>
  <si>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</si>
  <si>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</si>
  <si>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</si>
  <si>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</si>
  <si>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</si>
  <si>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</si>
  <si>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</si>
  <si>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</si>
  <si>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</si>
  <si>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</si>
  <si>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</si>
  <si>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</si>
  <si>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</si>
  <si>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</si>
  <si>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</si>
  <si>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</si>
  <si>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</si>
  <si>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</si>
  <si>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</si>
  <si>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</si>
  <si>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</si>
  <si>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</si>
  <si>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</si>
  <si>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</si>
  <si>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</si>
  <si>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</si>
  <si>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</si>
  <si>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</si>
  <si>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</si>
  <si>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</si>
  <si>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</si>
  <si>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</si>
  <si>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</si>
  <si>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</si>
  <si>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</si>
  <si>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</si>
  <si>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</si>
  <si>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</si>
  <si>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</si>
  <si>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</si>
  <si>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</si>
  <si>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</si>
  <si>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</si>
  <si>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</si>
  <si>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</si>
  <si>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</si>
  <si>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</si>
  <si>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</si>
  <si>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</si>
  <si>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</si>
  <si>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</si>
  <si>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</si>
  <si>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</si>
  <si>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</si>
  <si>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</si>
  <si>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</si>
  <si>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</si>
  <si>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</si>
  <si>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</si>
  <si>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 &amp; bridge</t>
  </si>
  <si>
    <t xml:space="preserve">and noxious weed funds may split contractual services between the two </t>
  </si>
  <si>
    <t xml:space="preserve">funds.  If one of those funds is in trouble, you might be able to </t>
  </si>
  <si>
    <t>order to eliminate the violation (be sure, though, that the</t>
  </si>
  <si>
    <t xml:space="preserve">allocate a little more in contractual services to the healthy fund in </t>
  </si>
  <si>
    <t>order to eliminate the potential violation (be sure, though, that</t>
  </si>
  <si>
    <t xml:space="preserve">funds.  If one of those funds is in trouble you might be able to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</si>
  <si>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</si>
  <si>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</si>
  <si>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4c. The Certificate(2) (cert2) and Budget Summary (summ2) are used when the County Clerk has special districts that are to be submitted along with the County's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</si>
  <si>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</si>
  <si>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to the Budget Summary. </t>
    </r>
    <r>
      <rPr>
        <b/>
        <sz val="12"/>
        <rFont val="Times New Roman"/>
        <family val="1"/>
      </rPr>
      <t>If the county does not have any debt, then on the first line enter 'none'.</t>
    </r>
  </si>
  <si>
    <r>
      <t xml:space="preserve">9.  Statement of Conditional Lease, Lease-Purchases and Certificate of Participation (lpform) must be completed for all transactions which at the end of the least period the item will be owned by the county.  Principal Balance Due for the actual year is linked to the Budget Summary page. </t>
    </r>
    <r>
      <rPr>
        <b/>
        <sz val="12"/>
        <rFont val="Times New Roman"/>
        <family val="1"/>
      </rPr>
      <t>If the county does not have any leases, then on the first line enter 'none'.</t>
    </r>
  </si>
  <si>
    <t>10.  The spreadsheet has individual fund sheets for General Fund (general), General Fund Detail (gen-detail), Debt Service (DebtService), Road &amp; Bridge (road), Road &amp; Bridge Detail (road-detail), 22 levy pages (levy page10 and levy page20), 10 no levy fund pages (nolevypage21 to nolevypage25), and 1non-budgeted tab which allows for 5 non-budgeted funds.  Only complete the fund pages needed.  When the fund pages are completed, the totals will be shown on the Certificate and Budget Summary pages.</t>
  </si>
  <si>
    <r>
      <t xml:space="preserve">11.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</si>
  <si>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11a.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approximately the amount of the rebates and lost revenue because of the rebates. </t>
    </r>
  </si>
  <si>
    <r>
      <t xml:space="preserve">11c. </t>
    </r>
    <r>
      <rPr>
        <b/>
        <sz val="12"/>
        <rFont val="Times New Roman"/>
        <family val="1"/>
      </rPr>
      <t>Note: If you do not have Neighborhood Revitalization, these steps are not done.</t>
    </r>
  </si>
  <si>
    <r>
      <t xml:space="preserve">11b.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</si>
  <si>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</si>
  <si>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of the page is a green shaded area, enter the page number.</t>
  </si>
  <si>
    <t xml:space="preserve">13.  Before submission of the budget, please review the entire document and verify that all amounts are correct.  In addition, the Certificate Page needs to be signed by at least one member of the governing body (signatures of the entire governing body is preferred, but not mandatory). </t>
  </si>
  <si>
    <t xml:space="preserve">Submitting the Budget </t>
  </si>
  <si>
    <t>4. Bud Summary delete a space and combine sentences 'Detail…' and 'and will' for where budget infor located at</t>
  </si>
  <si>
    <t>answering objections of taxpayers relating to the proposed use of all funds and the amount of ad valorem tax.</t>
  </si>
  <si>
    <t>the Neighborhood Revitalization Rebate table.</t>
  </si>
  <si>
    <t>7c.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</si>
  <si>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</si>
  <si>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</si>
  <si>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</si>
  <si>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Expenditure</t>
  </si>
  <si>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</si>
  <si>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</si>
  <si>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</si>
  <si>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</si>
  <si>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</si>
  <si>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</si>
  <si>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</si>
  <si>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</si>
  <si>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Budget Authority</t>
  </si>
  <si>
    <t>for Expenditures</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</si>
  <si>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</si>
  <si>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 xml:space="preserve">K.S.A. 8-145.  </t>
    </r>
    <r>
      <rPr>
        <b/>
        <sz val="12"/>
        <color indexed="8"/>
        <rFont val="Times New Roman"/>
        <family val="1"/>
      </rPr>
      <t>Transfer to general fund from special motor vehicle fund.</t>
    </r>
    <r>
      <rPr>
        <sz val="12"/>
        <color indexed="8"/>
        <rFont val="Times New Roman"/>
        <family val="1"/>
      </rPr>
      <t xml:space="preserve">  Any balance remaining in the special motor vehicle fund at the close of any calendar year shall be withdrawn and credited to the general fund of the county prior to June 1 of the following calendar year.</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</si>
  <si>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</si>
  <si>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1"/>
        <color indexed="8"/>
        <rFont val="Times New Roman"/>
        <family val="1"/>
      </rPr>
      <t>19-2661.</t>
    </r>
    <r>
      <rPr>
        <sz val="11"/>
        <color indexed="8"/>
        <rFont val="Times New Roman"/>
        <family val="1"/>
      </rPr>
      <t xml:space="preserve">  </t>
    </r>
    <r>
      <rPr>
        <b/>
        <sz val="11"/>
        <color indexed="8"/>
        <rFont val="Times New Roman"/>
        <family val="1"/>
      </rPr>
      <t>Transfer to refuse disposal sinking (debt service) fund.</t>
    </r>
    <r>
      <rPr>
        <sz val="11"/>
        <color indexed="8"/>
        <rFont val="Times New Roman"/>
        <family val="1"/>
      </rPr>
      <t xml:space="preserve">  Authorizes the transfer of surplus money from the refuse disposal fund to a refuse disposal debt service fund.</t>
    </r>
  </si>
  <si>
    <t>Compensating Use Tax</t>
  </si>
  <si>
    <t>Local Sales Tax</t>
  </si>
  <si>
    <t>Does miscellaneous exceed 10% of Total Rec</t>
  </si>
  <si>
    <t>Does miscellaneous exceed 10% of Total Exp</t>
  </si>
  <si>
    <t>Non-Appropriated Balance</t>
  </si>
  <si>
    <t>Total Expenditure/Non-Appr Balance</t>
  </si>
  <si>
    <t>Delinquent Comp Rate:</t>
  </si>
  <si>
    <t>Road &amp; Bridge Fund</t>
  </si>
  <si>
    <t xml:space="preserve">General Fund </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</si>
  <si>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</si>
  <si>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28-115a.</t>
    </r>
    <r>
      <rPr>
        <sz val="12"/>
        <color indexed="8"/>
        <rFont val="Times New Roman"/>
        <family val="1"/>
      </rPr>
      <t xml:space="preserve">  </t>
    </r>
    <r>
      <rPr>
        <b/>
        <sz val="12"/>
        <color indexed="8"/>
        <rFont val="Times New Roman"/>
        <family val="1"/>
      </rPr>
      <t>Register of deeds technology fund.</t>
    </r>
    <r>
      <rPr>
        <sz val="12"/>
        <color indexed="8"/>
        <rFont val="Times New Roman"/>
        <family val="1"/>
      </rPr>
      <t xml:space="preserve">  Moneys in the fund (certain additional recording fees collected pursuant to K.S.A. 28-115(b)) shall be used by the register of deeds to acquire equipment and technological services for the storing, recording, archiving, retrieving, maintaining, and handling of data recorded or stored in the office of the register of deeds.</t>
    </r>
  </si>
  <si>
    <r>
      <t xml:space="preserve">K.S.A. </t>
    </r>
    <r>
      <rPr>
        <b/>
        <sz val="12"/>
        <color indexed="8"/>
        <rFont val="Times New Roman"/>
        <family val="1"/>
      </rPr>
      <t>68-1135.</t>
    </r>
    <r>
      <rPr>
        <sz val="12"/>
        <color indexed="8"/>
        <rFont val="Times New Roman"/>
        <family val="1"/>
      </rPr>
      <t xml:space="preserve">  </t>
    </r>
    <r>
      <rPr>
        <b/>
        <sz val="12"/>
        <color indexed="8"/>
        <rFont val="Times New Roman"/>
        <family val="1"/>
      </rPr>
      <t>Special bridge and culvert fund.</t>
    </r>
    <r>
      <rPr>
        <sz val="12"/>
        <color indexed="8"/>
        <rFont val="Times New Roman"/>
        <family val="1"/>
      </rPr>
      <t xml:space="preserve">  Counties are authorized to levy taxes for the purpose of creating and providing a special fund to be used in building and reconstructing bridges and culverts and constructing the approaches thereto or to be used in repaying loans or advances received from the highway fund.</t>
    </r>
  </si>
  <si>
    <t>Desired Carryover Amount:</t>
  </si>
  <si>
    <t>Estimated Mill Rate Impact:</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</si>
  <si>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</si>
  <si>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</si>
  <si>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</si>
  <si>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</si>
  <si>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</si>
  <si>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</si>
  <si>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</si>
  <si>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</si>
  <si>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</si>
  <si>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</si>
  <si>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</si>
  <si>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</si>
  <si>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</si>
  <si>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</si>
  <si>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</si>
  <si>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</si>
  <si>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</si>
  <si>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</si>
  <si>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</si>
  <si>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</si>
  <si>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</si>
  <si>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</si>
  <si>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</si>
  <si>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</si>
  <si>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</si>
  <si>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</si>
  <si>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</si>
  <si>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</si>
  <si>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</si>
  <si>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</si>
  <si>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</si>
  <si>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</si>
  <si>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</si>
  <si>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</si>
  <si>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</si>
  <si>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</si>
  <si>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</si>
  <si>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</si>
  <si>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</si>
  <si>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</si>
  <si>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</si>
  <si>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</si>
  <si>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</si>
  <si>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</si>
  <si>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</si>
  <si>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</si>
  <si>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</si>
  <si>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</si>
  <si>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</si>
  <si>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</si>
  <si>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</si>
  <si>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</si>
  <si>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</si>
  <si>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</si>
  <si>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</si>
  <si>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</si>
  <si>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</si>
  <si>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</si>
  <si>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</si>
  <si>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</si>
  <si>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</si>
  <si>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</si>
  <si>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</si>
  <si>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</si>
  <si>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</si>
  <si>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</si>
  <si>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</si>
  <si>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</si>
  <si>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</si>
  <si>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</si>
  <si>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</si>
  <si>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</si>
  <si>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</si>
  <si>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</si>
  <si>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pages. </t>
    </r>
  </si>
  <si>
    <t xml:space="preserve">2.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</si>
  <si>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</si>
  <si>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</si>
  <si>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</si>
  <si>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 All pages removed the revision date</t>
  </si>
  <si>
    <t>2. All tax levy fund pages reduced the columns and revised the bottom of pages for see tabs</t>
  </si>
  <si>
    <t>3. Instruction tab added 10a,b and f, 12 b and c, and 14</t>
  </si>
  <si>
    <t>4. Certificate and Certificate2 tab change the 'Expenditure' heading by adding  'Budget Authority for Expenditures'</t>
  </si>
  <si>
    <t>5. Certificate tab add the year in the block for 'County Clerk Use Only'</t>
  </si>
  <si>
    <t>6. Gen tab added revenue line for 'Compensation Use'</t>
  </si>
  <si>
    <t>7. Gen tab added table for 'Projection of Cash Carryover'</t>
  </si>
  <si>
    <t>8. Gen tab added table for 'Desired Carryover'</t>
  </si>
  <si>
    <t>9. Gen tab redefine print que to not include tables</t>
  </si>
  <si>
    <t>10. Gen tab hid the comp for see tabs</t>
  </si>
  <si>
    <t>11. DebtService tab added table for 'Projected Carryover'</t>
  </si>
  <si>
    <t>12. Road tab added table for 'Projected Carryover'</t>
  </si>
  <si>
    <t>13. DebtService and Road tab redefine print que and hid comp for see tabs</t>
  </si>
  <si>
    <t>14. Levy page10 and page20 tab hid comp for see tabs</t>
  </si>
  <si>
    <t>15. Summ and Summ2 tab changed proposed year expenditure column to 'Budget Authority (Includes Carryover)</t>
  </si>
  <si>
    <t>16. Summ tab added four tables to the right of the form</t>
  </si>
  <si>
    <t>17. Revised TransferStatutes and NonBudFunds tabs</t>
  </si>
  <si>
    <t>18. Added Mill Rate Computation tab</t>
  </si>
  <si>
    <t>19. Add Helpful Links tab</t>
  </si>
  <si>
    <t>20. Inputoth tab changed Actual Delinquency tax from -2 to -3</t>
  </si>
  <si>
    <t>21. Summ2 added year to Estimate Valuation column</t>
  </si>
  <si>
    <t>Page No. 7f</t>
  </si>
  <si>
    <t>Page No. 7e</t>
  </si>
  <si>
    <t>Page No. 7d</t>
  </si>
  <si>
    <t>Page No. 7c</t>
  </si>
  <si>
    <t>Page No.7b</t>
  </si>
  <si>
    <t>The estimated value of one mill would be:</t>
  </si>
  <si>
    <t>Change in Ad Valorem Tax Revenue:</t>
  </si>
  <si>
    <t>What Mill Rate Would Be Desired?</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</si>
  <si>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</si>
  <si>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</si>
  <si>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</si>
  <si>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</si>
  <si>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</si>
  <si>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</si>
  <si>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</si>
  <si>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</si>
  <si>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</si>
  <si>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1. Summ tabs changed proposed year expenditure column to 'Budget Authority for Expenditures'</t>
  </si>
  <si>
    <t>1. Cert Tab change all tax levy reference for ad valorem tax column</t>
  </si>
  <si>
    <t>1. Corrected reference made to cell D20 on Summary Page</t>
  </si>
  <si>
    <t>Email:</t>
  </si>
  <si>
    <t>_______________________________  _______________________________</t>
  </si>
  <si>
    <t xml:space="preserve"> Debt</t>
  </si>
  <si>
    <t xml:space="preserve">Type </t>
  </si>
  <si>
    <t xml:space="preserve"> Purchased</t>
  </si>
  <si>
    <t>Items</t>
  </si>
  <si>
    <t xml:space="preserve">Prior Year </t>
  </si>
  <si>
    <t xml:space="preserve">Current Year </t>
  </si>
  <si>
    <t xml:space="preserve">Proposed Budget </t>
  </si>
  <si>
    <t>Expenditures Must Be Changed by:</t>
  </si>
  <si>
    <t>Mill Rate Comparison</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</si>
  <si>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</si>
  <si>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</si>
  <si>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</si>
  <si>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</si>
  <si>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</si>
  <si>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</si>
  <si>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Clerk Name:</t>
  </si>
  <si>
    <t>Must be at least 10 days between date published and hearing held.</t>
  </si>
  <si>
    <t>January</t>
  </si>
  <si>
    <t>February</t>
  </si>
  <si>
    <t>March</t>
  </si>
  <si>
    <t>April</t>
  </si>
  <si>
    <t>May</t>
  </si>
  <si>
    <t>June</t>
  </si>
  <si>
    <t>July</t>
  </si>
  <si>
    <t>August</t>
  </si>
  <si>
    <t>September</t>
  </si>
  <si>
    <t>October</t>
  </si>
  <si>
    <t>November</t>
  </si>
  <si>
    <t>December</t>
  </si>
  <si>
    <t>Delinquency % used in this budget will be shown on all fund pages with a tax levy**</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</si>
  <si>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</si>
  <si>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</si>
  <si>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10a.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</si>
  <si>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10b.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</si>
  <si>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</si>
  <si>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</si>
  <si>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</si>
  <si>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</si>
  <si>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12f. Once the 'Notice of Budget Hearing' has been printed in the local newspaper, please review the notice to ensure the information was correctly printed.  If the information is not correct, the Notice may need to be republished, and may delay the submission of the budget.</t>
  </si>
  <si>
    <t>12g. If the Special District budgets are computed by the County Clerk, the Clerk could complete the County Spec District.xls spreadsheet and this spreadsheet would be included with the county's budget.  Both Budget Summary pages would be taken to the newspaper for publication.</t>
  </si>
  <si>
    <t>2. Instructions tab, changed #3 for adding name of official for Budget Summary page</t>
  </si>
  <si>
    <t>3. Instructions tab, added #3b for new max published date on 'inputBudSum' tab</t>
  </si>
  <si>
    <r>
      <t xml:space="preserve">K.S.A. 65-204.  Transfer to County Health Capital Outlay Fund from County Health Fund.  </t>
    </r>
    <r>
      <rPr>
        <sz val="12"/>
        <rFont val="Times New Roman"/>
        <family val="1"/>
      </rPr>
      <t>Any moneys remaining in the county health fund at the end of any county fiscal year for which a levy is made under this section may be transferred to the county health capital outlay fund, which is hereby created, for the making of capital expenditures incident to county health purposes.</t>
    </r>
  </si>
  <si>
    <t xml:space="preserve">Amounts used in lieu of </t>
  </si>
  <si>
    <t xml:space="preserve">3. The 'inputBudSum' tab is used to place information on the Budget Summary. On this tab you will need to key in the following information: Name of Person presenting the budget, date the budget hearing will be held, time of the hearing, location of the budget hearing, and a place whereas the taxpayers can obtain a copy of the budget.  </t>
  </si>
  <si>
    <t xml:space="preserve">Allocation of Vehicle Taxes </t>
  </si>
  <si>
    <r>
      <t>10c.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</si>
  <si>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</si>
  <si>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t>9. Instructions tab, added #12c for computation of one mill</t>
  </si>
  <si>
    <t>10. Instructions tab, changed #12d added the name of the tables and warning about delinquency rate if used</t>
  </si>
  <si>
    <t>11. Instructions tab, changed #12e added the name of the table and warning about delinquency rate if used</t>
  </si>
  <si>
    <t>12. Instructions tab, changed #12f added that not signing the Budget Summary page will not require to be reprinted</t>
  </si>
  <si>
    <t xml:space="preserve">13. InputPrYr tab, added column for adjusting ad valorem taxes to reflect a better picture of actual taxes received, allow a rate to be used to compute the new amount, and links the new amounts to the appropriate fund page, if used, otherwise used the original amounts </t>
  </si>
  <si>
    <t>14. InputOth tab, section for Computation of Delinquency, change to % from rate and provided example, link to all tax levy fund page will show as %  vs rate</t>
  </si>
  <si>
    <t>15. InputBudSum tab, added official name and latest date for publication of Notice of Budget Hearing</t>
  </si>
  <si>
    <t xml:space="preserve">16. Cert tab, under Table of Content, added Computation to Determine State Library Grant </t>
  </si>
  <si>
    <t>17. Cert tab, right justifyed figures versus having figures centered</t>
  </si>
  <si>
    <t>18. Cert tab, put spaces between governing body signatures block</t>
  </si>
  <si>
    <t>19. Mvalloc tab, removed slider column and computation for slider</t>
  </si>
  <si>
    <t>20. All tax levy fund pages removed the link from Mvalloc tab for slider and converted cells to blank</t>
  </si>
  <si>
    <t xml:space="preserve">21. Debt and Lpform tab added a blank new column at left side and formated 'type of debt' and 'item purchased'  </t>
  </si>
  <si>
    <t>22. All fund pages changed the year column heading, example 'Prior Year Actual' to 'Prior Year' second line 'Actual YYYY'</t>
  </si>
  <si>
    <t xml:space="preserve">23. Change out the 'Mill Rate Computation' tab so to agree with the website </t>
  </si>
  <si>
    <t>24. Added KSA 65-204 to transfer tab</t>
  </si>
  <si>
    <t>25. All tax levy fund pages added 'Mill Rate Comparison' table</t>
  </si>
  <si>
    <t>26. Certificate tab added a place for the email address of the assisted by</t>
  </si>
  <si>
    <r>
      <t xml:space="preserve">1b.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</si>
  <si>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#1b for adjusting ad valorem taxes</t>
  </si>
  <si>
    <t xml:space="preserve">4b.  If someone other than a municipal employee assists in preparing the budget, please enter the person's or firm's name, address in the area provided, and email address. </t>
  </si>
  <si>
    <t>4. Instructions tab, included in #4b allowing for email address</t>
  </si>
  <si>
    <t>5. Instructions tab, changed #6 to remove slider column and computations</t>
  </si>
  <si>
    <t>6. Instructions tab, changed #11b to reflect all tax levy pages with 'Projected Carryover' table</t>
  </si>
  <si>
    <t>7. Instructions tab, changed #11c to reflect all tax levy pages with 'Desired Carryover' and warning about delinquency rate</t>
  </si>
  <si>
    <t>8. Instructions tab, added #11d for last year mill rate, proposed total mill rate, and last year total mill rate</t>
  </si>
  <si>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</si>
  <si>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10f. The Debt Service fund page (DebtService) can contain all debts owe by the county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county has No Fund warrants, these can be included in the Debt Service fund page and levy taxes for this debt. </t>
    </r>
    <r>
      <rPr>
        <b/>
        <sz val="12"/>
        <rFont val="Times New Roman"/>
        <family val="1"/>
      </rPr>
      <t>Note</t>
    </r>
    <r>
      <rPr>
        <sz val="12"/>
        <rFont val="Times New Roman"/>
        <family val="1"/>
      </rPr>
      <t xml:space="preserve">, No Fund warrants </t>
    </r>
    <r>
      <rPr>
        <u val="single"/>
        <sz val="12"/>
        <rFont val="Times New Roman"/>
        <family val="1"/>
      </rPr>
      <t>are not required</t>
    </r>
    <r>
      <rPr>
        <sz val="12"/>
        <rFont val="Times New Roman"/>
        <family val="1"/>
      </rPr>
      <t xml:space="preserve"> to be included in the Debt Service and may still have a No Fund page to account for them if the county desires.  </t>
    </r>
  </si>
  <si>
    <r>
      <t xml:space="preserve">10e.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</si>
  <si>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10g.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</si>
  <si>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10h. The non-budgeted pages in the last column, the last two boxes should have the same figures as the last box take totals from the right side with the next to last box takes totals from the bottom.</t>
  </si>
  <si>
    <r>
      <t xml:space="preserve">10i. All levy fund pages have a Non-Appropriated Balance block. K.S.A. 79-2927 allows the county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In order to remove this warning message, you must reduce the non-appropriate figure.</t>
    </r>
  </si>
  <si>
    <t xml:space="preserve">10j. Each fund after the "unencumbered cash bal dec31", will show the budget authority expenditure amount for the actual and current year. </t>
  </si>
  <si>
    <r>
      <t>10k. For tax levy or no tax levy fund pages, a comparison is made between the budget authority for the actual year and the actual total expenditures for the actual year as shown in the budget. If the total expenditures exceed the budget authority amount, then a '</t>
    </r>
    <r>
      <rPr>
        <sz val="12"/>
        <color indexed="10"/>
        <rFont val="Times New Roman"/>
        <family val="1"/>
      </rPr>
      <t>See Tab A</t>
    </r>
    <r>
      <rPr>
        <sz val="12"/>
        <rFont val="Times New Roman"/>
        <family val="1"/>
      </rPr>
      <t>' appears to indicate a possible violation and the expenditure blocks turns red.  Another comparison is made for the unencumbered cash balance dec 31 to determine if the fund ended with a negative cash balance and if so, then a '</t>
    </r>
    <r>
      <rPr>
        <sz val="12"/>
        <color indexed="10"/>
        <rFont val="Times New Roman"/>
        <family val="1"/>
      </rPr>
      <t>See Tab B</t>
    </r>
    <r>
      <rPr>
        <sz val="12"/>
        <rFont val="Times New Roman"/>
        <family val="1"/>
      </rPr>
      <t xml:space="preserve">' will appear for the violation and the unencumbered cash block turns red. </t>
    </r>
  </si>
  <si>
    <r>
      <t>10l. For tax levy or no tax levy fund pages, a comparison is maybe between the budget authority for the current year and total expenditures for the current budget expenditures as shown in the budget. If the current year adjusted expenditures are more than the budget authority, then a possible violation has occurred and red '</t>
    </r>
    <r>
      <rPr>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sz val="12"/>
        <color indexed="10"/>
        <rFont val="Times New Roman"/>
        <family val="1"/>
      </rPr>
      <t>See Tab D</t>
    </r>
    <r>
      <rPr>
        <sz val="12"/>
        <rFont val="Times New Roman"/>
        <family val="1"/>
      </rPr>
      <t>' will appear for the possible violation and the unencumbered cash block turns red.</t>
    </r>
  </si>
  <si>
    <r>
      <t>10m.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</si>
  <si>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1.  Added "resolution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</si>
  <si>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</si>
  <si>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</si>
  <si>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</si>
  <si>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</si>
  <si>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</si>
  <si>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t>16.</t>
  </si>
  <si>
    <t>17.</t>
  </si>
  <si>
    <t>attach a copy of the published notice to this budget.</t>
  </si>
  <si>
    <t>15.</t>
  </si>
  <si>
    <t>Tax levy excluding debt service</t>
  </si>
  <si>
    <t>Increase in personal property (5a minus 5b)</t>
  </si>
  <si>
    <t>Total valuation adjustment (sum of 4, 5c, and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</si>
  <si>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</si>
  <si>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</si>
  <si>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</si>
  <si>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</si>
  <si>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</si>
  <si>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</si>
  <si>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</si>
  <si>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</si>
  <si>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</si>
  <si>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</si>
  <si>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5/16/14</t>
  </si>
  <si>
    <t>The following changes were made to this workbook on 4/9/14</t>
  </si>
  <si>
    <t>The following changes were made to this workbook on 3/27/13</t>
  </si>
  <si>
    <t>The following changes were made to this workbook on 10/9/12</t>
  </si>
  <si>
    <t>The following changes were made to this workbook on 11/22/11</t>
  </si>
  <si>
    <t>The following changes were made to this workbook on 8/8/11</t>
  </si>
  <si>
    <t>The following changes were made to this workbook on 5/27/11</t>
  </si>
  <si>
    <t>The following changes were made to this workbook on 4/19/11</t>
  </si>
  <si>
    <t>The following changes were made to this workbook on 9/16/10</t>
  </si>
  <si>
    <t>The following changes were made to this workbook on 1/05/10</t>
  </si>
  <si>
    <t>The following changes were made to this workbook on 12/28/09</t>
  </si>
  <si>
    <t>The following changes were made to this workbook on 12/08/09</t>
  </si>
  <si>
    <t>The following changes were made to this workbook on 9/23/09</t>
  </si>
  <si>
    <t>The following changes were made to this workbook on 6/04/09</t>
  </si>
  <si>
    <t>The following changes were made to this workbook on 2/23/09</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</si>
  <si>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</si>
  <si>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Consumer Price Index adjustment (3 times 15)</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</si>
  <si>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county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</si>
  <si>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The following changes were made to this workbook on 7/9/14</t>
  </si>
  <si>
    <t>1.  Correction to formula in cell j39 of the computation tab worksheet.</t>
  </si>
  <si>
    <t>1.  Update of State Library contact name on library grant tab.</t>
  </si>
  <si>
    <t>The following changes were made to this workbook on 8/19/14</t>
  </si>
  <si>
    <t>County Budget Workbook Instructions</t>
  </si>
  <si>
    <t>Input Sheet for County Budget Workbook</t>
  </si>
  <si>
    <t>Enter county name followed by "County":</t>
  </si>
  <si>
    <t>Enter year being budgeted (YYYY):</t>
  </si>
  <si>
    <t>Note:  All amounts are to be entered as whole numbers only.</t>
  </si>
  <si>
    <t xml:space="preserve">Enter the following information from the sources shown.  This information will flow throughout the budget worksheets to the appropriate locations. </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</si>
  <si>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</si>
  <si>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How to Compute the Value of One Mill, and the Impact of Tax Dollars and Assessed Valuation on Mill Rates</t>
  </si>
  <si>
    <t xml:space="preserve">Allocation of MV, RV, 16/20M, Commercial Vehicle, and Watercraft Tax Estimates </t>
  </si>
  <si>
    <t>Comm Veh</t>
  </si>
  <si>
    <t>Watercraft</t>
  </si>
  <si>
    <t>County Treas Recreational Vehicle Estimate</t>
  </si>
  <si>
    <t>County Treas 16/20M Vehicle Estimate</t>
  </si>
  <si>
    <t>County Treas Commercial Vehicle Tax Estimate</t>
  </si>
  <si>
    <t>County Treas Watercraft Tax Estimate</t>
  </si>
  <si>
    <t>Commercial Vehicle Factor</t>
  </si>
  <si>
    <t>Watercraft Factor</t>
  </si>
  <si>
    <t>Commercial Vehicle Tax Estimate</t>
  </si>
  <si>
    <t>Watercraft Tax Estimate</t>
  </si>
  <si>
    <t>Commercial Vehicle Tax</t>
  </si>
  <si>
    <t>Watercraft Tax</t>
  </si>
  <si>
    <t>1.  Various workbook changes associated with commercial vehicle and watercraft tax estimates.</t>
  </si>
  <si>
    <t>The following changes were made to this workbook on 9/25/14</t>
  </si>
  <si>
    <t>The following changes were made to this workbook on 1/21/15</t>
  </si>
  <si>
    <t>1.  Inserted 2014 CPI percentage on computation tab.</t>
  </si>
  <si>
    <t>Resolution required?  Notice of the vote to adopt required to be published?</t>
  </si>
  <si>
    <t>or adoption of a resolution prior to adoption of the budget (14 plus 16)</t>
  </si>
  <si>
    <t xml:space="preserve">you must, prior to adoption of such budget, adopt a resolution authorizing such levy and, subsequent to adoption of such budget, publish notice of vote by the governing body to adopt such budget in the official county newspaper and </t>
  </si>
  <si>
    <t>Resolution?  Vote publication required?</t>
  </si>
  <si>
    <t>The following changes were made to this workbook on 9/23/2015</t>
  </si>
  <si>
    <t>Mill Levy*</t>
  </si>
  <si>
    <t>RESOLUTION NO._________</t>
  </si>
  <si>
    <t>Whereas, the cost of providing these services continues to increase.</t>
  </si>
  <si>
    <t>__________________________________</t>
  </si>
  <si>
    <t>Whereas, K.S.A. 79-2925b, as amended, also provides that current year revenue that is produced and attributable to the taxation of (1) new improvements, (2) increased personal property valuation other than increased valuation of oil and gas leaseholds and mobile homes, and (3) property which has changed in use shall not be considered when determining whether revenue produced from property tax has increased from the preceding year; and</t>
  </si>
  <si>
    <t>68-5,101</t>
  </si>
  <si>
    <t>The following changes were made to this workbook on 10/14/2015</t>
  </si>
  <si>
    <t>1.  Change of road and bridge fund statutory authority.</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</si>
  <si>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</si>
  <si>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</si>
  <si>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</si>
  <si>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</si>
  <si>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</si>
  <si>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6.  On tax levy funds NR estimate shown as a negative receipt.</t>
  </si>
  <si>
    <t>The following changes were made to this workbook on 2/2/2016</t>
  </si>
  <si>
    <t>1.  Inserted 2015 CPI percentage on computation tab.</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</si>
</sst>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m/d/yy"/>
    <numFmt numFmtId="173" formatCode="m/d"/>
    <numFmt numFmtId="174" formatCode="_(* #,##0.0_);_(* \(#,##0.0\);_(* &quot;-&quot;??_);_(@_)"/>
    <numFmt numFmtId="175" formatCode="_(* #,##0_);_(* \(#,##0\);_(* &quot;-&quot;??_);_(@_)"/>
    <numFmt numFmtId="176" formatCode="#,##0.0_);\(#,##0.0\)"/>
    <numFmt numFmtId="177" formatCode="#,##0.000_);\(#,##0.000\)"/>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00"/>
    <numFmt numFmtId="184" formatCode="#,##0.000"/>
    <numFmt numFmtId="185" formatCode="[$-409]mmmm\ d\,\ yyyy;@"/>
    <numFmt numFmtId="186" formatCode="[$-409]h:mm\ AM/PM;@"/>
    <numFmt numFmtId="187" formatCode="[$-409]dddd\,\ mmmm\ dd\,\ yyyy"/>
    <numFmt numFmtId="188" formatCode="m/d/yy;@"/>
    <numFmt numFmtId="189" formatCode="&quot;$&quot;#,##0"/>
    <numFmt numFmtId="190" formatCode="&quot;$&quot;#,##0.00"/>
    <numFmt numFmtId="191" formatCode="#,###"/>
    <numFmt numFmtId="192" formatCode="0.0%"/>
    <numFmt numFmtId="193" formatCode="#,##0.000_);[Red]\(#,##0.000\)"/>
    <numFmt numFmtId="194" formatCode="0_);\(0\)"/>
  </numFmts>
  <fonts count="9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New"/>
      <family val="3"/>
    </font>
    <font>
      <u val="single"/>
      <sz val="12"/>
      <color indexed="12"/>
      <name val="Courier New"/>
      <family val="3"/>
    </font>
    <font>
      <sz val="12"/>
      <name val="Courier New"/>
      <family val="3"/>
    </font>
    <font>
      <b/>
      <sz val="11"/>
      <name val="Times New Roman"/>
      <family val="1"/>
    </font>
    <font>
      <sz val="8"/>
      <name val="Courier"/>
      <family val="3"/>
    </font>
    <font>
      <sz val="10"/>
      <name val="Times New Roman"/>
      <family val="1"/>
    </font>
    <font>
      <b/>
      <u val="single"/>
      <sz val="12"/>
      <name val="Times New Roman"/>
      <family val="1"/>
    </font>
    <font>
      <sz val="8"/>
      <name val="Times New Roman"/>
      <family val="1"/>
    </font>
    <font>
      <sz val="12"/>
      <color indexed="10"/>
      <name val="Times New Roman"/>
      <family val="1"/>
    </font>
    <font>
      <b/>
      <sz val="8"/>
      <name val="Times New Roman"/>
      <family val="1"/>
    </font>
    <font>
      <sz val="12"/>
      <color indexed="10"/>
      <name val="Courier"/>
      <family val="3"/>
    </font>
    <font>
      <b/>
      <u val="single"/>
      <sz val="12"/>
      <color indexed="10"/>
      <name val="Times New Roman"/>
      <family val="1"/>
    </font>
    <font>
      <b/>
      <sz val="12"/>
      <color indexed="10"/>
      <name val="Times New Roman"/>
      <family val="1"/>
    </font>
    <font>
      <i/>
      <sz val="12"/>
      <name val="Times New Roman"/>
      <family val="1"/>
    </font>
    <font>
      <sz val="8"/>
      <color indexed="10"/>
      <name val="Times New Roman"/>
      <family val="1"/>
    </font>
    <font>
      <b/>
      <u val="single"/>
      <sz val="12"/>
      <name val="Courier"/>
      <family val="3"/>
    </font>
    <font>
      <sz val="14"/>
      <name val="Courier"/>
      <family val="3"/>
    </font>
    <font>
      <b/>
      <u val="single"/>
      <sz val="14"/>
      <name val="Times New Roman"/>
      <family val="1"/>
    </font>
    <font>
      <b/>
      <sz val="12"/>
      <color indexed="8"/>
      <name val="Times New Roman"/>
      <family val="1"/>
    </font>
    <font>
      <sz val="12"/>
      <color indexed="8"/>
      <name val="Times New Roman"/>
      <family val="1"/>
    </font>
    <font>
      <b/>
      <sz val="11"/>
      <color indexed="8"/>
      <name val="Arial"/>
      <family val="2"/>
    </font>
    <font>
      <sz val="11"/>
      <color indexed="8"/>
      <name val="Arial"/>
      <family val="2"/>
    </font>
    <font>
      <b/>
      <sz val="14"/>
      <name val="Times New Roman"/>
      <family val="1"/>
    </font>
    <font>
      <u val="single"/>
      <sz val="12"/>
      <color indexed="12"/>
      <name val="Courier"/>
      <family val="3"/>
    </font>
    <font>
      <i/>
      <u val="single"/>
      <sz val="12"/>
      <name val="Courier"/>
      <family val="3"/>
    </font>
    <font>
      <sz val="11"/>
      <color indexed="8"/>
      <name val="Times New Roman"/>
      <family val="1"/>
    </font>
    <font>
      <b/>
      <sz val="11"/>
      <color indexed="8"/>
      <name val="Times New Roman"/>
      <family val="1"/>
    </font>
    <font>
      <u val="single"/>
      <sz val="12"/>
      <color indexed="10"/>
      <name val="Times New Roman"/>
      <family val="1"/>
    </font>
    <font>
      <b/>
      <u val="single"/>
      <sz val="10"/>
      <name val="Times New Roman"/>
      <family val="1"/>
    </font>
    <font>
      <b/>
      <u val="single"/>
      <sz val="10"/>
      <name val="Courier"/>
      <family val="3"/>
    </font>
    <font>
      <b/>
      <sz val="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color indexed="10"/>
      <name val="Times New Roman"/>
      <family val="1"/>
    </font>
    <font>
      <sz val="10"/>
      <name val="Courier"/>
      <family val="3"/>
    </font>
    <font>
      <b/>
      <sz val="11"/>
      <name val="Calibri"/>
      <family val="2"/>
    </font>
    <font>
      <sz val="12"/>
      <name val="Arial"/>
      <family val="2"/>
    </font>
    <font>
      <i/>
      <sz val="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8"/>
      <color indexed="9"/>
      <name val="Times New Roman"/>
      <family val="1"/>
    </font>
    <font>
      <sz val="12"/>
      <color indexed="9"/>
      <name val="Times New Roman"/>
      <family val="1"/>
    </font>
    <font>
      <sz val="12"/>
      <color indexed="9"/>
      <name val="Courier New"/>
      <family val="3"/>
    </font>
    <font>
      <b/>
      <sz val="10"/>
      <color indexed="10"/>
      <name val="Times New Roman"/>
      <family val="1"/>
    </font>
    <font>
      <b/>
      <u val="single"/>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1"/>
      <color theme="1"/>
      <name val="Cambria"/>
      <family val="1"/>
    </font>
    <font>
      <sz val="11"/>
      <color rgb="FF000000"/>
      <name val="Cambria"/>
      <family val="1"/>
    </font>
    <font>
      <sz val="12"/>
      <color theme="0"/>
      <name val="Courier"/>
      <family val="3"/>
    </font>
    <font>
      <sz val="8"/>
      <color theme="0"/>
      <name val="Times New Roman"/>
      <family val="1"/>
    </font>
    <font>
      <sz val="12"/>
      <color theme="0"/>
      <name val="Times New Roman"/>
      <family val="1"/>
    </font>
    <font>
      <sz val="12"/>
      <color theme="0"/>
      <name val="Courier New"/>
      <family val="3"/>
    </font>
    <font>
      <sz val="10"/>
      <color rgb="FFFF0000"/>
      <name val="Times New Roman"/>
      <family val="1"/>
    </font>
    <font>
      <b/>
      <sz val="10"/>
      <color rgb="FFFF0000"/>
      <name val="Times New Roman"/>
      <family val="1"/>
    </font>
    <font>
      <b/>
      <u val="single"/>
      <sz val="11"/>
      <color theme="1"/>
      <name val="Calibri"/>
      <family val="2"/>
    </font>
    <font>
      <b/>
      <sz val="14"/>
      <color theme="1"/>
      <name val="Calibri"/>
      <family val="2"/>
    </font>
  </fonts>
  <fills count="3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13"/>
        <bgColor indexed="64"/>
      </patternFill>
    </fill>
    <fill>
      <patternFill patternType="solid">
        <fgColor rgb="FFFFFFC0"/>
        <bgColor indexed="64"/>
      </patternFill>
    </fill>
    <fill>
      <patternFill patternType="solid">
        <fgColor rgb="FFFFFF0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style="medium"/>
      <right/>
      <top style="medium"/>
      <bottom/>
    </border>
    <border>
      <left style="medium"/>
      <right/>
      <top/>
      <bottom/>
    </border>
    <border>
      <left/>
      <right style="medium"/>
      <top/>
      <bottom/>
    </border>
    <border>
      <left/>
      <right/>
      <top style="medium"/>
      <bottom/>
    </border>
    <border>
      <left/>
      <right style="medium"/>
      <top style="medium"/>
      <bottom/>
    </border>
    <border>
      <left style="medium"/>
      <right/>
      <top/>
      <bottom style="thin"/>
    </border>
    <border>
      <left style="medium"/>
      <right/>
      <top/>
      <bottom style="medium"/>
    </border>
    <border>
      <left/>
      <right/>
      <top/>
      <bottom style="medium"/>
    </border>
    <border>
      <left/>
      <right style="medium"/>
      <top/>
      <bottom style="mediu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4"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7" borderId="0" applyNumberFormat="0" applyBorder="0" applyAlignment="0" applyProtection="0"/>
    <xf numFmtId="0" fontId="74" fillId="4" borderId="0" applyNumberFormat="0" applyBorder="0" applyAlignment="0" applyProtection="0"/>
    <xf numFmtId="0" fontId="75" fillId="7"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0" borderId="0" applyNumberFormat="0" applyBorder="0" applyAlignment="0" applyProtection="0"/>
    <xf numFmtId="0" fontId="75" fillId="7" borderId="0" applyNumberFormat="0" applyBorder="0" applyAlignment="0" applyProtection="0"/>
    <xf numFmtId="0" fontId="75" fillId="3" borderId="0" applyNumberFormat="0" applyBorder="0" applyAlignment="0" applyProtection="0"/>
    <xf numFmtId="0" fontId="75" fillId="13"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6" fillId="17" borderId="0" applyNumberFormat="0" applyBorder="0" applyAlignment="0" applyProtection="0"/>
    <xf numFmtId="0" fontId="53" fillId="18" borderId="1" applyNumberFormat="0" applyAlignment="0" applyProtection="0"/>
    <xf numFmtId="0" fontId="7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9" fillId="0" borderId="0" applyNumberFormat="0" applyFill="0" applyBorder="0" applyAlignment="0" applyProtection="0"/>
    <xf numFmtId="0" fontId="79" fillId="7"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80" fillId="9" borderId="1" applyNumberFormat="0" applyAlignment="0" applyProtection="0"/>
    <xf numFmtId="0" fontId="61" fillId="0" borderId="6" applyNumberFormat="0" applyFill="0" applyAlignment="0" applyProtection="0"/>
    <xf numFmtId="0" fontId="62" fillId="20" borderId="0" applyNumberFormat="0" applyBorder="0" applyAlignment="0" applyProtection="0"/>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0" borderId="0">
      <alignment/>
      <protection/>
    </xf>
    <xf numFmtId="0" fontId="74" fillId="0" borderId="0">
      <alignment/>
      <protection/>
    </xf>
    <xf numFmtId="0" fontId="74" fillId="0" borderId="0">
      <alignment/>
      <protection/>
    </xf>
    <xf numFmtId="0" fontId="0" fillId="0" borderId="0">
      <alignment/>
      <protection/>
    </xf>
    <xf numFmtId="0" fontId="0" fillId="0" borderId="0">
      <alignment/>
      <protection/>
    </xf>
    <xf numFmtId="0" fontId="7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81" fillId="18"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929">
    <xf numFmtId="0" fontId="0" fillId="0" borderId="0" xfId="0" applyAlignment="1">
      <alignment/>
    </xf>
    <xf numFmtId="0" fontId="4" fillId="0" borderId="0" xfId="0" applyFont="1" applyAlignment="1">
      <alignment/>
    </xf>
    <xf numFmtId="3" fontId="4" fillId="22" borderId="10" xfId="0" applyNumberFormat="1" applyFont="1" applyFill="1" applyBorder="1" applyAlignment="1" applyProtection="1">
      <alignment/>
      <protection locked="0"/>
    </xf>
    <xf numFmtId="0" fontId="4" fillId="22" borderId="11" xfId="0" applyFont="1" applyFill="1" applyBorder="1" applyAlignment="1" applyProtection="1">
      <alignment horizontal="left"/>
      <protection locked="0"/>
    </xf>
    <xf numFmtId="37" fontId="4" fillId="4" borderId="11" xfId="0" applyNumberFormat="1" applyFont="1" applyFill="1" applyBorder="1" applyAlignment="1" applyProtection="1">
      <alignment horizontal="left"/>
      <protection/>
    </xf>
    <xf numFmtId="0" fontId="4" fillId="4" borderId="0" xfId="0" applyFont="1" applyFill="1" applyAlignment="1" applyProtection="1">
      <alignment/>
      <protection/>
    </xf>
    <xf numFmtId="37" fontId="4" fillId="4" borderId="0" xfId="0" applyNumberFormat="1" applyFont="1" applyFill="1" applyAlignment="1" applyProtection="1">
      <alignment horizontal="left"/>
      <protection/>
    </xf>
    <xf numFmtId="37" fontId="4" fillId="4" borderId="0" xfId="0" applyNumberFormat="1" applyFont="1" applyFill="1" applyAlignment="1" applyProtection="1">
      <alignment horizontal="fill"/>
      <protection/>
    </xf>
    <xf numFmtId="0" fontId="4" fillId="4" borderId="10" xfId="0" applyFont="1" applyFill="1" applyBorder="1" applyAlignment="1" applyProtection="1">
      <alignment/>
      <protection/>
    </xf>
    <xf numFmtId="37" fontId="4" fillId="4" borderId="0" xfId="0" applyNumberFormat="1" applyFont="1" applyFill="1" applyAlignment="1" applyProtection="1">
      <alignment/>
      <protection/>
    </xf>
    <xf numFmtId="3" fontId="4" fillId="4" borderId="0" xfId="0" applyNumberFormat="1" applyFont="1" applyFill="1" applyAlignment="1" applyProtection="1">
      <alignment/>
      <protection/>
    </xf>
    <xf numFmtId="0" fontId="5" fillId="4" borderId="0" xfId="0" applyFont="1" applyFill="1" applyAlignment="1" applyProtection="1">
      <alignment/>
      <protection/>
    </xf>
    <xf numFmtId="166" fontId="4" fillId="4" borderId="0" xfId="0" applyNumberFormat="1" applyFont="1" applyFill="1" applyAlignment="1" applyProtection="1">
      <alignment/>
      <protection/>
    </xf>
    <xf numFmtId="0" fontId="4" fillId="4" borderId="0" xfId="0" applyFont="1" applyFill="1" applyAlignment="1" applyProtection="1">
      <alignment horizontal="right"/>
      <protection/>
    </xf>
    <xf numFmtId="3" fontId="4" fillId="4" borderId="10" xfId="0" applyNumberFormat="1" applyFont="1" applyFill="1" applyBorder="1" applyAlignment="1" applyProtection="1">
      <alignment/>
      <protection/>
    </xf>
    <xf numFmtId="37" fontId="4" fillId="4" borderId="0" xfId="0" applyNumberFormat="1" applyFont="1" applyFill="1" applyAlignment="1" applyProtection="1" quotePrefix="1">
      <alignment horizontal="right"/>
      <protection/>
    </xf>
    <xf numFmtId="0" fontId="4" fillId="4" borderId="0" xfId="0" applyNumberFormat="1" applyFont="1" applyFill="1" applyAlignment="1" applyProtection="1">
      <alignment horizontal="right"/>
      <protection/>
    </xf>
    <xf numFmtId="0" fontId="4" fillId="4" borderId="11" xfId="0" applyFont="1" applyFill="1" applyBorder="1" applyAlignment="1" applyProtection="1">
      <alignment/>
      <protection/>
    </xf>
    <xf numFmtId="0" fontId="4" fillId="4" borderId="12" xfId="0" applyNumberFormat="1" applyFont="1" applyFill="1" applyBorder="1" applyAlignment="1" applyProtection="1">
      <alignment horizontal="center"/>
      <protection/>
    </xf>
    <xf numFmtId="37" fontId="5" fillId="4" borderId="11" xfId="0" applyNumberFormat="1" applyFont="1" applyFill="1" applyBorder="1" applyAlignment="1" applyProtection="1">
      <alignment horizontal="left"/>
      <protection/>
    </xf>
    <xf numFmtId="3" fontId="4" fillId="9" borderId="10" xfId="0" applyNumberFormat="1" applyFont="1" applyFill="1" applyBorder="1" applyAlignment="1" applyProtection="1">
      <alignment/>
      <protection/>
    </xf>
    <xf numFmtId="3" fontId="5" fillId="9" borderId="10" xfId="0" applyNumberFormat="1" applyFont="1" applyFill="1" applyBorder="1" applyAlignment="1" applyProtection="1">
      <alignment/>
      <protection/>
    </xf>
    <xf numFmtId="37" fontId="4" fillId="4" borderId="13" xfId="0" applyNumberFormat="1" applyFont="1" applyFill="1" applyBorder="1" applyAlignment="1" applyProtection="1">
      <alignment horizontal="left"/>
      <protection/>
    </xf>
    <xf numFmtId="0" fontId="4" fillId="22" borderId="11" xfId="0" applyFont="1" applyFill="1" applyBorder="1" applyAlignment="1" applyProtection="1">
      <alignment/>
      <protection locked="0"/>
    </xf>
    <xf numFmtId="3" fontId="4" fillId="22" borderId="14" xfId="0" applyNumberFormat="1" applyFont="1" applyFill="1" applyBorder="1" applyAlignment="1" applyProtection="1">
      <alignment/>
      <protection locked="0"/>
    </xf>
    <xf numFmtId="3" fontId="17" fillId="23" borderId="15" xfId="0" applyNumberFormat="1" applyFont="1" applyFill="1" applyBorder="1" applyAlignment="1" applyProtection="1">
      <alignment horizontal="center"/>
      <protection/>
    </xf>
    <xf numFmtId="0" fontId="0" fillId="0" borderId="0" xfId="0" applyAlignment="1">
      <alignment vertical="center"/>
    </xf>
    <xf numFmtId="0" fontId="26" fillId="0" borderId="0" xfId="0" applyFont="1" applyAlignment="1">
      <alignment horizontal="center" vertical="center"/>
    </xf>
    <xf numFmtId="0" fontId="25" fillId="0" borderId="0" xfId="0" applyFont="1" applyAlignment="1">
      <alignment vertical="center"/>
    </xf>
    <xf numFmtId="0" fontId="0" fillId="0" borderId="0" xfId="0" applyAlignment="1">
      <alignment vertical="center" wrapText="1"/>
    </xf>
    <xf numFmtId="0" fontId="5"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pplyProtection="1">
      <alignment vertical="center" wrapText="1"/>
      <protection/>
    </xf>
    <xf numFmtId="0" fontId="21" fillId="0" borderId="0" xfId="0" applyFont="1" applyAlignment="1">
      <alignment vertical="center" wrapText="1"/>
    </xf>
    <xf numFmtId="0" fontId="4" fillId="22" borderId="0" xfId="0" applyFont="1" applyFill="1" applyAlignment="1" applyProtection="1">
      <alignment vertical="center" wrapText="1"/>
      <protection/>
    </xf>
    <xf numFmtId="0" fontId="4" fillId="0" borderId="0" xfId="0" applyFont="1" applyFill="1" applyAlignment="1" applyProtection="1">
      <alignment vertical="center" wrapText="1"/>
      <protection/>
    </xf>
    <xf numFmtId="0" fontId="4" fillId="4" borderId="0" xfId="0" applyFont="1" applyFill="1" applyAlignment="1">
      <alignment vertical="center" wrapText="1"/>
    </xf>
    <xf numFmtId="0" fontId="4" fillId="24" borderId="0" xfId="0" applyFont="1" applyFill="1" applyAlignment="1">
      <alignment vertical="center" wrapText="1"/>
    </xf>
    <xf numFmtId="0" fontId="4" fillId="16" borderId="0" xfId="0" applyFont="1" applyFill="1" applyAlignment="1">
      <alignment vertical="center"/>
    </xf>
    <xf numFmtId="37" fontId="4" fillId="0" borderId="0" xfId="0" applyNumberFormat="1" applyFont="1" applyFill="1" applyAlignment="1" applyProtection="1">
      <alignment horizontal="left" vertical="center" wrapText="1"/>
      <protection/>
    </xf>
    <xf numFmtId="37" fontId="5" fillId="4" borderId="0" xfId="0" applyNumberFormat="1" applyFont="1" applyFill="1" applyAlignment="1" applyProtection="1">
      <alignment horizontal="center" vertical="center"/>
      <protection/>
    </xf>
    <xf numFmtId="0" fontId="1" fillId="4" borderId="0" xfId="0" applyFont="1" applyFill="1" applyAlignment="1">
      <alignment horizontal="center" vertical="center"/>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37" fontId="4" fillId="4" borderId="0" xfId="0" applyNumberFormat="1" applyFont="1" applyFill="1" applyBorder="1" applyAlignment="1" applyProtection="1">
      <alignment horizontal="left" vertical="center"/>
      <protection/>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37" fontId="20" fillId="4" borderId="0" xfId="0" applyNumberFormat="1" applyFont="1" applyFill="1" applyAlignment="1" applyProtection="1">
      <alignment horizontal="center" vertical="center"/>
      <protection/>
    </xf>
    <xf numFmtId="0" fontId="24" fillId="4" borderId="0" xfId="0" applyFont="1" applyFill="1" applyAlignment="1">
      <alignment horizontal="center" vertical="center"/>
    </xf>
    <xf numFmtId="0" fontId="4" fillId="4" borderId="0" xfId="0" applyFont="1" applyFill="1" applyAlignment="1" applyProtection="1">
      <alignment horizontal="center" vertical="center"/>
      <protection/>
    </xf>
    <xf numFmtId="0" fontId="4" fillId="24" borderId="16" xfId="0" applyNumberFormat="1" applyFont="1" applyFill="1" applyBorder="1" applyAlignment="1" applyProtection="1">
      <alignment horizontal="center" vertical="center"/>
      <protection/>
    </xf>
    <xf numFmtId="37" fontId="4" fillId="4" borderId="0" xfId="0" applyNumberFormat="1" applyFont="1" applyFill="1" applyAlignment="1" applyProtection="1">
      <alignment horizontal="center" vertical="center"/>
      <protection/>
    </xf>
    <xf numFmtId="37" fontId="4" fillId="24" borderId="12"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left" vertical="center"/>
      <protection/>
    </xf>
    <xf numFmtId="0" fontId="4" fillId="4"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37" fontId="4" fillId="4" borderId="17" xfId="0" applyNumberFormat="1"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4" fillId="4" borderId="18" xfId="0"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164" fontId="4" fillId="9" borderId="10"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3" fontId="4" fillId="22" borderId="10" xfId="0" applyNumberFormat="1" applyFont="1" applyFill="1" applyBorder="1" applyAlignment="1" applyProtection="1">
      <alignment vertical="center"/>
      <protection/>
    </xf>
    <xf numFmtId="164" fontId="4" fillId="4" borderId="17" xfId="0" applyNumberFormat="1" applyFont="1" applyFill="1" applyBorder="1" applyAlignment="1" applyProtection="1">
      <alignment vertical="center"/>
      <protection locked="0"/>
    </xf>
    <xf numFmtId="0" fontId="4" fillId="4" borderId="19" xfId="0" applyFont="1" applyFill="1" applyBorder="1" applyAlignment="1" applyProtection="1">
      <alignment vertical="center"/>
      <protection/>
    </xf>
    <xf numFmtId="164" fontId="4" fillId="4" borderId="0" xfId="0" applyNumberFormat="1" applyFont="1" applyFill="1" applyBorder="1" applyAlignment="1" applyProtection="1">
      <alignment vertical="center"/>
      <protection locked="0"/>
    </xf>
    <xf numFmtId="3" fontId="4" fillId="4" borderId="0" xfId="0" applyNumberFormat="1" applyFont="1" applyFill="1" applyBorder="1" applyAlignment="1" applyProtection="1">
      <alignment vertical="center"/>
      <protection locked="0"/>
    </xf>
    <xf numFmtId="37" fontId="4" fillId="4" borderId="0" xfId="0" applyNumberFormat="1" applyFont="1" applyFill="1" applyAlignment="1" applyProtection="1">
      <alignment horizontal="right" vertical="center"/>
      <protection/>
    </xf>
    <xf numFmtId="0" fontId="4" fillId="4" borderId="0" xfId="0" applyFont="1" applyFill="1" applyAlignment="1">
      <alignment vertical="center"/>
    </xf>
    <xf numFmtId="37" fontId="4" fillId="4" borderId="10" xfId="0" applyNumberFormat="1" applyFont="1" applyFill="1" applyBorder="1" applyAlignment="1" applyProtection="1">
      <alignment vertical="center"/>
      <protection/>
    </xf>
    <xf numFmtId="0" fontId="4" fillId="4" borderId="0" xfId="0" applyFont="1" applyFill="1" applyAlignment="1" applyProtection="1">
      <alignment vertical="center"/>
      <protection locked="0"/>
    </xf>
    <xf numFmtId="0" fontId="4" fillId="4" borderId="17" xfId="0" applyFont="1" applyFill="1" applyBorder="1" applyAlignment="1" applyProtection="1">
      <alignment horizontal="center" vertical="center"/>
      <protection/>
    </xf>
    <xf numFmtId="0" fontId="4" fillId="4" borderId="17" xfId="0" applyFont="1" applyFill="1" applyBorder="1" applyAlignment="1" applyProtection="1">
      <alignment horizontal="center" vertical="center"/>
      <protection locked="0"/>
    </xf>
    <xf numFmtId="0" fontId="4" fillId="25" borderId="17" xfId="0" applyFont="1" applyFill="1" applyBorder="1" applyAlignment="1" applyProtection="1">
      <alignment vertical="center"/>
      <protection/>
    </xf>
    <xf numFmtId="0" fontId="4" fillId="4" borderId="19" xfId="0" applyFont="1" applyFill="1" applyBorder="1" applyAlignment="1" applyProtection="1">
      <alignment vertical="center"/>
      <protection locked="0"/>
    </xf>
    <xf numFmtId="0" fontId="4" fillId="25" borderId="18" xfId="0" applyFont="1" applyFill="1" applyBorder="1" applyAlignment="1" applyProtection="1">
      <alignment vertical="center"/>
      <protection/>
    </xf>
    <xf numFmtId="0" fontId="4" fillId="4" borderId="14" xfId="0" applyFont="1" applyFill="1" applyBorder="1" applyAlignment="1" applyProtection="1">
      <alignment vertical="center"/>
      <protection locked="0"/>
    </xf>
    <xf numFmtId="0" fontId="4" fillId="0" borderId="0" xfId="0" applyFont="1" applyAlignment="1" applyProtection="1">
      <alignment vertical="center"/>
      <protection locked="0"/>
    </xf>
    <xf numFmtId="37" fontId="4" fillId="4" borderId="0" xfId="0" applyNumberFormat="1" applyFont="1" applyFill="1" applyAlignment="1">
      <alignment vertical="center"/>
    </xf>
    <xf numFmtId="0" fontId="0" fillId="4" borderId="0" xfId="0" applyFill="1" applyAlignment="1">
      <alignment vertical="center"/>
    </xf>
    <xf numFmtId="3" fontId="4" fillId="4" borderId="0" xfId="0" applyNumberFormat="1" applyFont="1" applyFill="1" applyAlignment="1" applyProtection="1">
      <alignment vertical="center"/>
      <protection/>
    </xf>
    <xf numFmtId="37" fontId="4" fillId="4" borderId="18" xfId="0" applyNumberFormat="1" applyFont="1" applyFill="1" applyBorder="1" applyAlignment="1" applyProtection="1">
      <alignment horizontal="left" vertical="center"/>
      <protection/>
    </xf>
    <xf numFmtId="37" fontId="4" fillId="22" borderId="10" xfId="0" applyNumberFormat="1" applyFont="1" applyFill="1" applyBorder="1" applyAlignment="1" applyProtection="1">
      <alignment vertical="center"/>
      <protection locked="0"/>
    </xf>
    <xf numFmtId="3" fontId="4" fillId="4" borderId="19" xfId="0" applyNumberFormat="1"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2" fontId="4" fillId="16" borderId="0" xfId="0" applyNumberFormat="1" applyFont="1" applyFill="1" applyBorder="1" applyAlignment="1" applyProtection="1">
      <alignment vertical="center"/>
      <protection locked="0"/>
    </xf>
    <xf numFmtId="0" fontId="4" fillId="24" borderId="16" xfId="0" applyFont="1" applyFill="1" applyBorder="1" applyAlignment="1">
      <alignment horizontal="center" vertical="center"/>
    </xf>
    <xf numFmtId="0" fontId="4" fillId="24" borderId="20" xfId="0" applyFont="1" applyFill="1" applyBorder="1" applyAlignment="1">
      <alignment horizontal="center" vertical="center"/>
    </xf>
    <xf numFmtId="0" fontId="17" fillId="4" borderId="0" xfId="0" applyFont="1" applyFill="1" applyAlignment="1">
      <alignment vertical="center"/>
    </xf>
    <xf numFmtId="0" fontId="19" fillId="4" borderId="0" xfId="0" applyFont="1" applyFill="1" applyAlignment="1">
      <alignment vertical="center"/>
    </xf>
    <xf numFmtId="0" fontId="4" fillId="24" borderId="12" xfId="0" applyFont="1" applyFill="1" applyBorder="1" applyAlignment="1">
      <alignment horizontal="center" vertical="center"/>
    </xf>
    <xf numFmtId="37" fontId="4" fillId="4" borderId="12" xfId="0" applyNumberFormat="1" applyFont="1" applyFill="1" applyBorder="1" applyAlignment="1">
      <alignment vertical="center"/>
    </xf>
    <xf numFmtId="3" fontId="4" fillId="22" borderId="12" xfId="0" applyNumberFormat="1" applyFont="1" applyFill="1" applyBorder="1" applyAlignment="1" applyProtection="1">
      <alignment vertical="center"/>
      <protection locked="0"/>
    </xf>
    <xf numFmtId="37" fontId="4" fillId="4" borderId="0" xfId="0" applyNumberFormat="1" applyFont="1" applyFill="1" applyAlignment="1" applyProtection="1">
      <alignment horizontal="centerContinuous" vertical="center"/>
      <protection/>
    </xf>
    <xf numFmtId="37" fontId="4" fillId="4" borderId="0" xfId="0" applyNumberFormat="1" applyFont="1" applyFill="1" applyAlignment="1" applyProtection="1">
      <alignment horizontal="fill" vertical="center"/>
      <protection/>
    </xf>
    <xf numFmtId="37" fontId="4" fillId="4" borderId="11" xfId="0" applyNumberFormat="1" applyFont="1" applyFill="1" applyBorder="1" applyAlignment="1" applyProtection="1">
      <alignment horizontal="centerContinuous" vertical="center"/>
      <protection/>
    </xf>
    <xf numFmtId="0" fontId="4" fillId="4" borderId="18"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37" fontId="4" fillId="4" borderId="16" xfId="0" applyNumberFormat="1" applyFont="1" applyFill="1" applyBorder="1" applyAlignment="1" applyProtection="1">
      <alignment horizontal="center" vertical="center"/>
      <protection/>
    </xf>
    <xf numFmtId="37" fontId="4" fillId="4" borderId="16" xfId="0" applyNumberFormat="1" applyFont="1" applyFill="1" applyBorder="1" applyAlignment="1" applyProtection="1">
      <alignment horizontal="center" vertical="center" wrapText="1"/>
      <protection/>
    </xf>
    <xf numFmtId="37" fontId="5" fillId="4" borderId="17" xfId="0" applyNumberFormat="1" applyFont="1" applyFill="1" applyBorder="1" applyAlignment="1" applyProtection="1">
      <alignment horizontal="left" vertical="center"/>
      <protection/>
    </xf>
    <xf numFmtId="37" fontId="4" fillId="4" borderId="12" xfId="0" applyNumberFormat="1" applyFont="1" applyFill="1" applyBorder="1" applyAlignment="1" applyProtection="1">
      <alignment horizontal="center" vertical="center"/>
      <protection/>
    </xf>
    <xf numFmtId="37" fontId="4" fillId="4" borderId="11"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4" borderId="20" xfId="0" applyNumberFormat="1" applyFont="1" applyFill="1" applyBorder="1" applyAlignment="1" applyProtection="1">
      <alignment horizontal="center" vertical="center"/>
      <protection/>
    </xf>
    <xf numFmtId="37" fontId="4" fillId="4" borderId="21" xfId="0" applyNumberFormat="1" applyFont="1" applyFill="1" applyBorder="1" applyAlignment="1" applyProtection="1">
      <alignment horizontal="left" vertical="center"/>
      <protection/>
    </xf>
    <xf numFmtId="0" fontId="4" fillId="4" borderId="15" xfId="0" applyFont="1" applyFill="1" applyBorder="1" applyAlignment="1" applyProtection="1">
      <alignment vertical="center"/>
      <protection/>
    </xf>
    <xf numFmtId="37" fontId="4" fillId="4" borderId="10" xfId="0" applyNumberFormat="1" applyFont="1" applyFill="1" applyBorder="1" applyAlignment="1" applyProtection="1">
      <alignment horizontal="center" vertical="center"/>
      <protection/>
    </xf>
    <xf numFmtId="0" fontId="4" fillId="4" borderId="20" xfId="0" applyFont="1" applyFill="1" applyBorder="1" applyAlignment="1" applyProtection="1">
      <alignment vertical="center"/>
      <protection/>
    </xf>
    <xf numFmtId="37" fontId="4" fillId="4" borderId="14" xfId="0" applyNumberFormat="1" applyFont="1" applyFill="1" applyBorder="1" applyAlignment="1" applyProtection="1">
      <alignment horizontal="center" vertical="center"/>
      <protection/>
    </xf>
    <xf numFmtId="37" fontId="15" fillId="4" borderId="12" xfId="0" applyNumberFormat="1" applyFont="1" applyFill="1" applyBorder="1" applyAlignment="1" applyProtection="1">
      <alignment horizontal="left" vertical="center"/>
      <protection/>
    </xf>
    <xf numFmtId="37" fontId="15" fillId="4" borderId="12" xfId="0" applyNumberFormat="1" applyFont="1" applyFill="1" applyBorder="1" applyAlignment="1" applyProtection="1">
      <alignment horizontal="center" vertical="center"/>
      <protection/>
    </xf>
    <xf numFmtId="0" fontId="4" fillId="4" borderId="10" xfId="0" applyFont="1" applyFill="1" applyBorder="1" applyAlignment="1" applyProtection="1">
      <alignment vertical="center"/>
      <protection/>
    </xf>
    <xf numFmtId="0" fontId="4" fillId="4" borderId="12" xfId="0" applyFont="1" applyFill="1" applyBorder="1" applyAlignment="1" applyProtection="1">
      <alignment vertical="center"/>
      <protection/>
    </xf>
    <xf numFmtId="37" fontId="4" fillId="9" borderId="11"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vertical="center"/>
      <protection/>
    </xf>
    <xf numFmtId="37" fontId="4" fillId="4" borderId="11" xfId="0" applyNumberFormat="1" applyFont="1" applyFill="1" applyBorder="1" applyAlignment="1" applyProtection="1">
      <alignment vertical="center"/>
      <protection/>
    </xf>
    <xf numFmtId="37" fontId="4" fillId="4" borderId="19" xfId="0" applyNumberFormat="1" applyFont="1" applyFill="1" applyBorder="1" applyAlignment="1" applyProtection="1">
      <alignment horizontal="center" vertical="center"/>
      <protection/>
    </xf>
    <xf numFmtId="37" fontId="4" fillId="4" borderId="13" xfId="0" applyNumberFormat="1" applyFont="1" applyFill="1" applyBorder="1" applyAlignment="1" applyProtection="1">
      <alignment vertical="center"/>
      <protection/>
    </xf>
    <xf numFmtId="0" fontId="4" fillId="4" borderId="22" xfId="0" applyFont="1" applyFill="1" applyBorder="1" applyAlignment="1" applyProtection="1">
      <alignment vertical="center"/>
      <protection/>
    </xf>
    <xf numFmtId="37" fontId="5" fillId="4" borderId="13" xfId="0" applyNumberFormat="1" applyFont="1" applyFill="1" applyBorder="1" applyAlignment="1" applyProtection="1">
      <alignment horizontal="left" vertical="center"/>
      <protection/>
    </xf>
    <xf numFmtId="37" fontId="4" fillId="4" borderId="19" xfId="0" applyNumberFormat="1" applyFont="1" applyFill="1" applyBorder="1" applyAlignment="1" applyProtection="1">
      <alignment horizontal="fill" vertical="center"/>
      <protection/>
    </xf>
    <xf numFmtId="37" fontId="4" fillId="9" borderId="23" xfId="0" applyNumberFormat="1" applyFont="1" applyFill="1" applyBorder="1" applyAlignment="1" applyProtection="1">
      <alignment vertical="center"/>
      <protection/>
    </xf>
    <xf numFmtId="183" fontId="4" fillId="9" borderId="23" xfId="0" applyNumberFormat="1" applyFont="1" applyFill="1" applyBorder="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0" xfId="0" applyNumberFormat="1" applyFont="1" applyFill="1" applyBorder="1" applyAlignment="1" applyProtection="1">
      <alignment vertical="center"/>
      <protection/>
    </xf>
    <xf numFmtId="183" fontId="4" fillId="4" borderId="0" xfId="0" applyNumberFormat="1" applyFont="1" applyFill="1" applyBorder="1" applyAlignment="1" applyProtection="1">
      <alignment vertical="center"/>
      <protection/>
    </xf>
    <xf numFmtId="0" fontId="4" fillId="22" borderId="17" xfId="0" applyFont="1" applyFill="1" applyBorder="1" applyAlignment="1" applyProtection="1">
      <alignment vertical="center"/>
      <protection locked="0"/>
    </xf>
    <xf numFmtId="0" fontId="4" fillId="22" borderId="18" xfId="0" applyFont="1" applyFill="1" applyBorder="1" applyAlignment="1" applyProtection="1">
      <alignment vertical="center"/>
      <protection locked="0"/>
    </xf>
    <xf numFmtId="37" fontId="4" fillId="4" borderId="0" xfId="0" applyNumberFormat="1" applyFont="1" applyFill="1" applyBorder="1" applyAlignment="1" applyProtection="1">
      <alignment horizontal="right" vertical="center"/>
      <protection/>
    </xf>
    <xf numFmtId="0" fontId="4" fillId="4" borderId="0" xfId="0" applyFont="1" applyFill="1" applyAlignment="1" applyProtection="1">
      <alignment horizontal="left" vertical="center"/>
      <protection/>
    </xf>
    <xf numFmtId="37" fontId="4" fillId="0" borderId="0" xfId="0" applyNumberFormat="1" applyFont="1" applyAlignment="1" applyProtection="1">
      <alignment horizontal="center" vertical="center"/>
      <protection locked="0"/>
    </xf>
    <xf numFmtId="37" fontId="6" fillId="4" borderId="0" xfId="0" applyNumberFormat="1" applyFont="1" applyFill="1" applyAlignment="1">
      <alignment horizontal="center" vertical="center"/>
    </xf>
    <xf numFmtId="0" fontId="4" fillId="4" borderId="12" xfId="0" applyFont="1" applyFill="1" applyBorder="1" applyAlignment="1">
      <alignment horizontal="center" vertical="center" wrapText="1"/>
    </xf>
    <xf numFmtId="37" fontId="6" fillId="4" borderId="1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37" fontId="4" fillId="22" borderId="10" xfId="0" applyNumberFormat="1" applyFont="1" applyFill="1" applyBorder="1" applyAlignment="1" applyProtection="1">
      <alignment horizontal="left" vertical="center"/>
      <protection locked="0"/>
    </xf>
    <xf numFmtId="37" fontId="4" fillId="22" borderId="10" xfId="0" applyNumberFormat="1" applyFont="1" applyFill="1" applyBorder="1" applyAlignment="1" applyProtection="1">
      <alignment horizontal="center" vertical="center"/>
      <protection locked="0"/>
    </xf>
    <xf numFmtId="0" fontId="4" fillId="22" borderId="10" xfId="0" applyFont="1" applyFill="1" applyBorder="1" applyAlignment="1" applyProtection="1">
      <alignment horizontal="center" vertical="center"/>
      <protection locked="0"/>
    </xf>
    <xf numFmtId="37" fontId="4" fillId="4" borderId="10" xfId="0" applyNumberFormat="1" applyFont="1" applyFill="1" applyBorder="1" applyAlignment="1" applyProtection="1">
      <alignment horizontal="fill" vertical="center"/>
      <protection/>
    </xf>
    <xf numFmtId="37" fontId="4" fillId="4" borderId="23" xfId="0" applyNumberFormat="1" applyFont="1" applyFill="1" applyBorder="1" applyAlignment="1" applyProtection="1">
      <alignment vertical="center"/>
      <protection/>
    </xf>
    <xf numFmtId="37" fontId="4" fillId="0" borderId="0" xfId="0" applyNumberFormat="1" applyFont="1" applyAlignment="1" applyProtection="1">
      <alignment horizontal="left" vertical="center"/>
      <protection locked="0"/>
    </xf>
    <xf numFmtId="0" fontId="4" fillId="0" borderId="0" xfId="0" applyFont="1" applyAlignment="1" applyProtection="1">
      <alignment horizontal="center" vertical="center"/>
      <protection locked="0"/>
    </xf>
    <xf numFmtId="37" fontId="4" fillId="0" borderId="0" xfId="0" applyNumberFormat="1" applyFont="1" applyAlignment="1" applyProtection="1">
      <alignment horizontal="fill" vertical="center"/>
      <protection locked="0"/>
    </xf>
    <xf numFmtId="37" fontId="4"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4" borderId="17" xfId="0" applyNumberFormat="1" applyFont="1" applyFill="1" applyBorder="1" applyAlignment="1" applyProtection="1">
      <alignment vertical="center"/>
      <protection/>
    </xf>
    <xf numFmtId="3" fontId="4" fillId="4" borderId="0" xfId="0" applyNumberFormat="1" applyFont="1" applyFill="1" applyAlignment="1" quotePrefix="1">
      <alignment vertical="center"/>
    </xf>
    <xf numFmtId="3" fontId="4" fillId="4" borderId="0" xfId="0" applyNumberFormat="1" applyFont="1" applyFill="1" applyAlignment="1">
      <alignment vertical="center"/>
    </xf>
    <xf numFmtId="3" fontId="4" fillId="4" borderId="18" xfId="0" applyNumberFormat="1" applyFont="1" applyFill="1" applyBorder="1" applyAlignment="1" applyProtection="1">
      <alignment vertical="center"/>
      <protection locked="0"/>
    </xf>
    <xf numFmtId="0" fontId="5" fillId="4" borderId="0" xfId="0" applyFont="1" applyFill="1" applyAlignment="1" applyProtection="1">
      <alignment vertical="center"/>
      <protection/>
    </xf>
    <xf numFmtId="3" fontId="4" fillId="4" borderId="18" xfId="0" applyNumberFormat="1" applyFont="1" applyFill="1" applyBorder="1" applyAlignment="1">
      <alignment vertical="center"/>
    </xf>
    <xf numFmtId="3" fontId="4" fillId="4" borderId="24" xfId="0" applyNumberFormat="1" applyFont="1" applyFill="1" applyBorder="1" applyAlignment="1" applyProtection="1">
      <alignment vertical="center"/>
      <protection/>
    </xf>
    <xf numFmtId="171" fontId="4" fillId="4" borderId="17"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locked="0"/>
    </xf>
    <xf numFmtId="3" fontId="4" fillId="4" borderId="25" xfId="0" applyNumberFormat="1" applyFont="1" applyFill="1" applyBorder="1" applyAlignment="1" applyProtection="1">
      <alignment vertical="center"/>
      <protection/>
    </xf>
    <xf numFmtId="0" fontId="4" fillId="4" borderId="16" xfId="0" applyFont="1" applyFill="1" applyBorder="1" applyAlignment="1">
      <alignment vertical="center"/>
    </xf>
    <xf numFmtId="0" fontId="0" fillId="4" borderId="0" xfId="0" applyFill="1" applyBorder="1" applyAlignment="1">
      <alignment vertical="center"/>
    </xf>
    <xf numFmtId="177" fontId="4" fillId="4" borderId="10" xfId="0" applyNumberFormat="1" applyFont="1" applyFill="1" applyBorder="1" applyAlignment="1" applyProtection="1">
      <alignment horizontal="center" vertical="center"/>
      <protection/>
    </xf>
    <xf numFmtId="37" fontId="4" fillId="9" borderId="23" xfId="0" applyNumberFormat="1" applyFont="1" applyFill="1" applyBorder="1" applyAlignment="1" applyProtection="1">
      <alignment horizontal="center" vertical="center"/>
      <protection/>
    </xf>
    <xf numFmtId="177" fontId="4" fillId="9" borderId="23"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166" fontId="4" fillId="4" borderId="0" xfId="0" applyNumberFormat="1" applyFont="1" applyFill="1" applyAlignment="1" applyProtection="1">
      <alignment horizontal="center" vertical="center"/>
      <protection/>
    </xf>
    <xf numFmtId="37" fontId="4" fillId="4" borderId="17" xfId="0" applyNumberFormat="1" applyFont="1" applyFill="1" applyBorder="1" applyAlignment="1" applyProtection="1">
      <alignment horizontal="center" vertical="center"/>
      <protection/>
    </xf>
    <xf numFmtId="37" fontId="4" fillId="4" borderId="0" xfId="0" applyNumberFormat="1" applyFont="1" applyFill="1" applyBorder="1" applyAlignment="1" applyProtection="1">
      <alignment horizontal="center" vertical="center"/>
      <protection/>
    </xf>
    <xf numFmtId="3" fontId="4" fillId="4" borderId="17" xfId="0" applyNumberFormat="1" applyFont="1" applyFill="1" applyBorder="1" applyAlignment="1" applyProtection="1">
      <alignment horizontal="center" vertical="center"/>
      <protection/>
    </xf>
    <xf numFmtId="0" fontId="0" fillId="4" borderId="0" xfId="0" applyFill="1" applyAlignment="1">
      <alignment horizontal="center" vertical="center"/>
    </xf>
    <xf numFmtId="0" fontId="5" fillId="4" borderId="17"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4" fillId="22" borderId="12" xfId="0" applyFont="1" applyFill="1" applyBorder="1" applyAlignment="1" applyProtection="1">
      <alignment vertical="center"/>
      <protection locked="0"/>
    </xf>
    <xf numFmtId="175" fontId="4" fillId="22" borderId="12" xfId="42" applyNumberFormat="1" applyFont="1" applyFill="1" applyBorder="1" applyAlignment="1" applyProtection="1">
      <alignment vertical="center"/>
      <protection locked="0"/>
    </xf>
    <xf numFmtId="175" fontId="4" fillId="22" borderId="10" xfId="42" applyNumberFormat="1" applyFont="1" applyFill="1" applyBorder="1" applyAlignment="1" applyProtection="1">
      <alignment vertical="center"/>
      <protection locked="0"/>
    </xf>
    <xf numFmtId="0" fontId="4" fillId="4" borderId="10" xfId="0" applyFont="1" applyFill="1" applyBorder="1" applyAlignment="1" applyProtection="1">
      <alignment horizontal="center" vertical="center"/>
      <protection/>
    </xf>
    <xf numFmtId="0" fontId="4" fillId="4" borderId="10" xfId="0" applyFont="1" applyFill="1" applyBorder="1" applyAlignment="1" applyProtection="1">
      <alignment horizontal="center" vertical="center"/>
      <protection locked="0"/>
    </xf>
    <xf numFmtId="1" fontId="4" fillId="4" borderId="0" xfId="0" applyNumberFormat="1" applyFont="1" applyFill="1" applyBorder="1" applyAlignment="1" applyProtection="1">
      <alignment horizontal="right" vertical="center"/>
      <protection/>
    </xf>
    <xf numFmtId="0" fontId="5" fillId="4" borderId="0" xfId="585" applyFont="1" applyFill="1" applyAlignment="1" applyProtection="1">
      <alignment horizontal="centerContinuous" vertical="center"/>
      <protection/>
    </xf>
    <xf numFmtId="0" fontId="4" fillId="4" borderId="17" xfId="0" applyFont="1" applyFill="1" applyBorder="1" applyAlignment="1" applyProtection="1">
      <alignment horizontal="fill" vertical="center"/>
      <protection/>
    </xf>
    <xf numFmtId="0" fontId="4" fillId="4" borderId="16" xfId="0" applyFont="1" applyFill="1" applyBorder="1" applyAlignment="1" applyProtection="1">
      <alignment horizontal="center"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0" fontId="4" fillId="4" borderId="20" xfId="0" applyFont="1" applyFill="1" applyBorder="1" applyAlignment="1" applyProtection="1">
      <alignment horizontal="center" vertical="center"/>
      <protection/>
    </xf>
    <xf numFmtId="1" fontId="4" fillId="4" borderId="13"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2" fontId="4" fillId="4" borderId="10" xfId="0" applyNumberFormat="1"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horizontal="center" vertical="center"/>
      <protection locked="0"/>
    </xf>
    <xf numFmtId="2" fontId="4" fillId="22" borderId="10" xfId="0" applyNumberFormat="1" applyFont="1" applyFill="1" applyBorder="1" applyAlignment="1" applyProtection="1">
      <alignment horizontal="center" vertical="center"/>
      <protection locked="0"/>
    </xf>
    <xf numFmtId="3" fontId="4" fillId="22" borderId="10" xfId="0" applyNumberFormat="1" applyFont="1" applyFill="1" applyBorder="1" applyAlignment="1" applyProtection="1">
      <alignment horizontal="center" vertical="center"/>
      <protection locked="0"/>
    </xf>
    <xf numFmtId="37" fontId="4" fillId="22" borderId="10" xfId="0" applyNumberFormat="1" applyFont="1" applyFill="1" applyBorder="1" applyAlignment="1" applyProtection="1">
      <alignment horizontal="center" vertical="center"/>
      <protection locked="0"/>
    </xf>
    <xf numFmtId="173" fontId="4" fillId="22" borderId="10" xfId="0"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172"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3" fontId="5" fillId="4" borderId="10" xfId="0" applyNumberFormat="1" applyFont="1" applyFill="1" applyBorder="1" applyAlignment="1" applyProtection="1">
      <alignment horizontal="center" vertical="center"/>
      <protection/>
    </xf>
    <xf numFmtId="172" fontId="4" fillId="4" borderId="10" xfId="0" applyNumberFormat="1" applyFont="1" applyFill="1" applyBorder="1" applyAlignment="1" applyProtection="1">
      <alignment horizontal="center" vertical="center"/>
      <protection/>
    </xf>
    <xf numFmtId="2" fontId="4" fillId="4" borderId="10"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73" fontId="4"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4" fillId="4" borderId="10" xfId="0" applyNumberFormat="1" applyFont="1" applyFill="1" applyBorder="1" applyAlignment="1" applyProtection="1">
      <alignment horizontal="center" vertical="center"/>
      <protection/>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4" fillId="4" borderId="0" xfId="0" applyNumberFormat="1" applyFont="1" applyFill="1" applyAlignment="1" applyProtection="1">
      <alignment horizontal="right" vertical="center"/>
      <protection/>
    </xf>
    <xf numFmtId="0" fontId="4" fillId="4" borderId="0" xfId="0" applyFont="1" applyFill="1" applyAlignment="1" applyProtection="1">
      <alignment horizontal="right" vertical="center"/>
      <protection/>
    </xf>
    <xf numFmtId="0" fontId="4" fillId="4" borderId="28" xfId="0" applyFont="1" applyFill="1" applyBorder="1" applyAlignment="1" applyProtection="1">
      <alignment vertical="center"/>
      <protection/>
    </xf>
    <xf numFmtId="0" fontId="4" fillId="4" borderId="16" xfId="0" applyFont="1" applyFill="1" applyBorder="1" applyAlignment="1" applyProtection="1">
      <alignment vertical="center"/>
      <protection/>
    </xf>
    <xf numFmtId="0" fontId="4" fillId="4" borderId="13" xfId="0" applyFont="1" applyFill="1" applyBorder="1" applyAlignment="1" applyProtection="1">
      <alignment horizontal="left" vertical="center"/>
      <protection/>
    </xf>
    <xf numFmtId="0" fontId="8" fillId="4" borderId="12" xfId="0" applyFont="1" applyFill="1" applyBorder="1" applyAlignment="1" applyProtection="1">
      <alignment horizontal="center" vertical="center"/>
      <protection/>
    </xf>
    <xf numFmtId="14" fontId="4" fillId="4" borderId="12" xfId="0" applyNumberFormat="1" applyFont="1" applyFill="1" applyBorder="1" applyAlignment="1" applyProtection="1" quotePrefix="1">
      <alignment horizontal="center" vertical="center"/>
      <protection/>
    </xf>
    <xf numFmtId="1" fontId="4" fillId="22" borderId="10" xfId="0" applyNumberFormat="1" applyFont="1" applyFill="1" applyBorder="1" applyAlignment="1" applyProtection="1">
      <alignment vertical="center"/>
      <protection locked="0"/>
    </xf>
    <xf numFmtId="2" fontId="4" fillId="22" borderId="10" xfId="0" applyNumberFormat="1" applyFont="1" applyFill="1" applyBorder="1" applyAlignment="1" applyProtection="1">
      <alignment vertical="center"/>
      <protection locked="0"/>
    </xf>
    <xf numFmtId="3" fontId="5" fillId="9" borderId="23" xfId="0" applyNumberFormat="1" applyFont="1" applyFill="1" applyBorder="1" applyAlignment="1" applyProtection="1">
      <alignment vertical="center"/>
      <protection/>
    </xf>
    <xf numFmtId="0" fontId="4" fillId="0" borderId="0" xfId="0" applyFont="1" applyBorder="1" applyAlignment="1">
      <alignment vertical="center"/>
    </xf>
    <xf numFmtId="0" fontId="4" fillId="16" borderId="0" xfId="584" applyFont="1" applyFill="1" applyAlignment="1" applyProtection="1">
      <alignment vertical="center"/>
      <protection/>
    </xf>
    <xf numFmtId="0" fontId="4" fillId="16" borderId="0" xfId="0" applyFont="1" applyFill="1" applyAlignment="1" applyProtection="1">
      <alignment vertical="center"/>
      <protection/>
    </xf>
    <xf numFmtId="0" fontId="4" fillId="4" borderId="0" xfId="0" applyFont="1" applyFill="1" applyAlignment="1" applyProtection="1" quotePrefix="1">
      <alignment horizontal="right" vertical="center"/>
      <protection/>
    </xf>
    <xf numFmtId="1" fontId="4" fillId="4" borderId="12"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left" vertical="center"/>
      <protection/>
    </xf>
    <xf numFmtId="0" fontId="4" fillId="4" borderId="14" xfId="0" applyFont="1" applyFill="1" applyBorder="1" applyAlignment="1" applyProtection="1">
      <alignment horizontal="left" vertical="center"/>
      <protection/>
    </xf>
    <xf numFmtId="37" fontId="4" fillId="22" borderId="11"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22" borderId="11" xfId="0" applyFont="1" applyFill="1" applyBorder="1" applyAlignment="1" applyProtection="1">
      <alignment horizontal="left" vertical="center"/>
      <protection locked="0"/>
    </xf>
    <xf numFmtId="0" fontId="4" fillId="4" borderId="11" xfId="0" applyFont="1" applyFill="1" applyBorder="1" applyAlignment="1" applyProtection="1">
      <alignment vertical="center"/>
      <protection/>
    </xf>
    <xf numFmtId="3" fontId="17" fillId="23" borderId="15"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7" fontId="5" fillId="9" borderId="10" xfId="0" applyNumberFormat="1" applyFont="1" applyFill="1" applyBorder="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Alignment="1" applyProtection="1">
      <alignment horizontal="fill" vertical="center"/>
      <protection/>
    </xf>
    <xf numFmtId="0" fontId="4" fillId="4" borderId="12"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vertical="center"/>
      <protection/>
    </xf>
    <xf numFmtId="37" fontId="4" fillId="26" borderId="10" xfId="0" applyNumberFormat="1" applyFont="1" applyFill="1" applyBorder="1" applyAlignment="1" applyProtection="1">
      <alignment vertical="center"/>
      <protection/>
    </xf>
    <xf numFmtId="37" fontId="4" fillId="22" borderId="11" xfId="0" applyNumberFormat="1" applyFont="1" applyFill="1" applyBorder="1" applyAlignment="1" applyProtection="1">
      <alignment vertical="center"/>
      <protection/>
    </xf>
    <xf numFmtId="37" fontId="4" fillId="22" borderId="10" xfId="0" applyNumberFormat="1" applyFont="1" applyFill="1" applyBorder="1" applyAlignment="1" applyProtection="1">
      <alignment vertical="center"/>
      <protection/>
    </xf>
    <xf numFmtId="0" fontId="4" fillId="22" borderId="11" xfId="0"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0" fontId="17" fillId="0" borderId="0" xfId="0" applyFont="1" applyAlignment="1">
      <alignment vertical="center"/>
    </xf>
    <xf numFmtId="0" fontId="20" fillId="4" borderId="0" xfId="0" applyFont="1" applyFill="1" applyAlignment="1" applyProtection="1">
      <alignment horizontal="center" vertical="center"/>
      <protection/>
    </xf>
    <xf numFmtId="0" fontId="4" fillId="4" borderId="0" xfId="0" applyFont="1" applyFill="1" applyAlignment="1">
      <alignment horizontal="right" vertical="center"/>
    </xf>
    <xf numFmtId="166" fontId="4" fillId="4" borderId="0" xfId="0" applyNumberFormat="1" applyFont="1" applyFill="1" applyAlignment="1" applyProtection="1">
      <alignment vertical="center"/>
      <protection/>
    </xf>
    <xf numFmtId="37" fontId="4" fillId="4" borderId="0" xfId="0" applyNumberFormat="1" applyFont="1" applyFill="1" applyAlignment="1" applyProtection="1" quotePrefix="1">
      <alignment horizontal="right" vertical="center"/>
      <protection/>
    </xf>
    <xf numFmtId="3" fontId="4" fillId="4" borderId="10" xfId="42" applyNumberFormat="1" applyFont="1" applyFill="1" applyBorder="1" applyAlignment="1" applyProtection="1">
      <alignment horizontal="right" vertical="center"/>
      <protection/>
    </xf>
    <xf numFmtId="3" fontId="4" fillId="22" borderId="14"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11" xfId="0" applyNumberFormat="1" applyFont="1" applyFill="1" applyBorder="1" applyAlignment="1" applyProtection="1">
      <alignment horizontal="left" vertical="center"/>
      <protection/>
    </xf>
    <xf numFmtId="0" fontId="4" fillId="22" borderId="1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1" xfId="0" applyNumberFormat="1" applyFont="1" applyFill="1" applyBorder="1" applyAlignment="1" applyProtection="1">
      <alignment horizontal="left" vertical="center"/>
      <protection locked="0"/>
    </xf>
    <xf numFmtId="3" fontId="17" fillId="23" borderId="10" xfId="0" applyNumberFormat="1" applyFont="1" applyFill="1" applyBorder="1" applyAlignment="1" applyProtection="1">
      <alignment horizontal="center" vertical="center"/>
      <protection/>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3" fontId="4" fillId="9" borderId="10" xfId="0" applyNumberFormat="1" applyFont="1" applyFill="1" applyBorder="1" applyAlignment="1" applyProtection="1">
      <alignment horizontal="right" vertical="center"/>
      <protection/>
    </xf>
    <xf numFmtId="0" fontId="17" fillId="0" borderId="0" xfId="0" applyFont="1" applyAlignment="1" applyProtection="1">
      <alignment vertical="center"/>
      <protection/>
    </xf>
    <xf numFmtId="3" fontId="4" fillId="26" borderId="10" xfId="0" applyNumberFormat="1" applyFont="1" applyFill="1" applyBorder="1" applyAlignment="1" applyProtection="1">
      <alignment vertical="center"/>
      <protection/>
    </xf>
    <xf numFmtId="1" fontId="4" fillId="4" borderId="16" xfId="0" applyNumberFormat="1" applyFont="1" applyFill="1" applyBorder="1" applyAlignment="1" applyProtection="1">
      <alignment horizontal="center" vertical="center"/>
      <protection/>
    </xf>
    <xf numFmtId="0" fontId="4" fillId="22" borderId="10" xfId="0" applyFont="1" applyFill="1" applyBorder="1" applyAlignment="1" applyProtection="1">
      <alignment horizontal="left" vertical="center"/>
      <protection locked="0"/>
    </xf>
    <xf numFmtId="0" fontId="4" fillId="22" borderId="10" xfId="0" applyFont="1" applyFill="1" applyBorder="1" applyAlignment="1" applyProtection="1">
      <alignment horizontal="left" vertical="center"/>
      <protection locked="0"/>
    </xf>
    <xf numFmtId="37" fontId="4" fillId="9" borderId="16" xfId="0" applyNumberFormat="1" applyFont="1" applyFill="1" applyBorder="1" applyAlignment="1" applyProtection="1">
      <alignment vertical="center"/>
      <protection/>
    </xf>
    <xf numFmtId="0" fontId="4" fillId="4" borderId="0" xfId="0" applyNumberFormat="1" applyFont="1" applyFill="1" applyAlignment="1" applyProtection="1">
      <alignment vertical="center"/>
      <protection/>
    </xf>
    <xf numFmtId="37" fontId="5" fillId="26" borderId="23" xfId="0" applyNumberFormat="1" applyFont="1" applyFill="1" applyBorder="1" applyAlignment="1" applyProtection="1">
      <alignment vertical="center"/>
      <protection/>
    </xf>
    <xf numFmtId="0" fontId="17" fillId="16" borderId="0" xfId="0" applyFont="1" applyFill="1" applyAlignment="1">
      <alignment vertical="center"/>
    </xf>
    <xf numFmtId="37" fontId="4" fillId="16" borderId="0" xfId="0" applyNumberFormat="1" applyFont="1" applyFill="1" applyAlignment="1">
      <alignment vertical="center"/>
    </xf>
    <xf numFmtId="37" fontId="4" fillId="0" borderId="0" xfId="0" applyNumberFormat="1" applyFont="1" applyAlignment="1">
      <alignment vertical="center"/>
    </xf>
    <xf numFmtId="0" fontId="4" fillId="22" borderId="11" xfId="0" applyFont="1" applyFill="1" applyBorder="1" applyAlignment="1" applyProtection="1">
      <alignment horizontal="left" vertical="center"/>
      <protection/>
    </xf>
    <xf numFmtId="0" fontId="4" fillId="22" borderId="11" xfId="0" applyFont="1" applyFill="1" applyBorder="1" applyAlignment="1">
      <alignment vertical="center"/>
    </xf>
    <xf numFmtId="37" fontId="4" fillId="4" borderId="17" xfId="0" applyNumberFormat="1" applyFont="1" applyFill="1" applyBorder="1" applyAlignment="1" applyProtection="1">
      <alignment vertical="center"/>
      <protection/>
    </xf>
    <xf numFmtId="37" fontId="4" fillId="22" borderId="11" xfId="0" applyNumberFormat="1" applyFont="1" applyFill="1" applyBorder="1" applyAlignment="1" applyProtection="1">
      <alignment vertical="center"/>
      <protection locked="0"/>
    </xf>
    <xf numFmtId="3" fontId="5" fillId="9" borderId="10" xfId="0" applyNumberFormat="1" applyFont="1" applyFill="1" applyBorder="1" applyAlignment="1" applyProtection="1">
      <alignment vertical="center"/>
      <protection/>
    </xf>
    <xf numFmtId="10" fontId="4" fillId="4" borderId="0" xfId="0" applyNumberFormat="1" applyFont="1" applyFill="1" applyAlignment="1" applyProtection="1">
      <alignment horizontal="right" vertical="center"/>
      <protection/>
    </xf>
    <xf numFmtId="3" fontId="5" fillId="4" borderId="10" xfId="0" applyNumberFormat="1" applyFont="1" applyFill="1" applyBorder="1" applyAlignment="1" applyProtection="1">
      <alignment vertical="center"/>
      <protection/>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4" fillId="4" borderId="14" xfId="0" applyFont="1" applyFill="1" applyBorder="1" applyAlignment="1">
      <alignment horizontal="center" vertical="center"/>
    </xf>
    <xf numFmtId="0" fontId="4" fillId="4" borderId="17" xfId="0" applyFont="1" applyFill="1" applyBorder="1" applyAlignment="1">
      <alignment vertical="center"/>
    </xf>
    <xf numFmtId="0" fontId="16" fillId="4" borderId="16" xfId="0" applyFont="1" applyFill="1" applyBorder="1" applyAlignment="1">
      <alignment vertical="center"/>
    </xf>
    <xf numFmtId="0" fontId="16" fillId="4" borderId="14" xfId="0" applyFont="1" applyFill="1" applyBorder="1" applyAlignment="1">
      <alignment horizontal="center" vertical="center"/>
    </xf>
    <xf numFmtId="0" fontId="16" fillId="4" borderId="15" xfId="0" applyFont="1" applyFill="1" applyBorder="1" applyAlignment="1">
      <alignment vertical="center"/>
    </xf>
    <xf numFmtId="0" fontId="16" fillId="4" borderId="10" xfId="0" applyFont="1" applyFill="1" applyBorder="1" applyAlignment="1">
      <alignment horizontal="center" vertical="center"/>
    </xf>
    <xf numFmtId="0" fontId="4" fillId="4" borderId="14" xfId="0" applyFont="1" applyFill="1" applyBorder="1" applyAlignment="1">
      <alignment vertical="center"/>
    </xf>
    <xf numFmtId="0" fontId="4" fillId="4" borderId="10" xfId="0" applyFont="1" applyFill="1" applyBorder="1" applyAlignment="1">
      <alignment horizontal="center" vertical="center"/>
    </xf>
    <xf numFmtId="0" fontId="16" fillId="4" borderId="13" xfId="0" applyFont="1" applyFill="1" applyBorder="1" applyAlignment="1">
      <alignment vertical="center"/>
    </xf>
    <xf numFmtId="3" fontId="16" fillId="22" borderId="10" xfId="0" applyNumberFormat="1" applyFont="1" applyFill="1" applyBorder="1" applyAlignment="1" applyProtection="1">
      <alignment horizontal="center" vertical="center"/>
      <protection locked="0"/>
    </xf>
    <xf numFmtId="0" fontId="16" fillId="4" borderId="17" xfId="0" applyFont="1" applyFill="1" applyBorder="1" applyAlignment="1">
      <alignment vertical="center"/>
    </xf>
    <xf numFmtId="3" fontId="16" fillId="9" borderId="10" xfId="0" applyNumberFormat="1" applyFont="1" applyFill="1" applyBorder="1" applyAlignment="1">
      <alignment horizontal="center" vertical="center"/>
    </xf>
    <xf numFmtId="0" fontId="16" fillId="4" borderId="0" xfId="0" applyFont="1" applyFill="1" applyAlignment="1">
      <alignment vertical="center"/>
    </xf>
    <xf numFmtId="3" fontId="16" fillId="4" borderId="0" xfId="0" applyNumberFormat="1" applyFont="1" applyFill="1" applyAlignment="1">
      <alignment horizontal="center" vertical="center"/>
    </xf>
    <xf numFmtId="0" fontId="16" fillId="4" borderId="0" xfId="0" applyFont="1" applyFill="1" applyAlignment="1">
      <alignment horizontal="center" vertical="center"/>
    </xf>
    <xf numFmtId="0" fontId="16" fillId="22" borderId="10" xfId="0" applyFont="1" applyFill="1" applyBorder="1" applyAlignment="1" applyProtection="1">
      <alignment vertical="center"/>
      <protection locked="0"/>
    </xf>
    <xf numFmtId="0" fontId="16" fillId="22" borderId="15" xfId="0" applyFont="1" applyFill="1" applyBorder="1" applyAlignment="1" applyProtection="1">
      <alignment vertical="center"/>
      <protection locked="0"/>
    </xf>
    <xf numFmtId="0" fontId="16" fillId="22" borderId="0" xfId="0" applyFont="1" applyFill="1" applyAlignment="1" applyProtection="1">
      <alignment vertical="center"/>
      <protection locked="0"/>
    </xf>
    <xf numFmtId="0" fontId="16" fillId="22" borderId="14" xfId="0" applyFont="1" applyFill="1" applyBorder="1" applyAlignment="1" applyProtection="1">
      <alignment vertical="center"/>
      <protection locked="0"/>
    </xf>
    <xf numFmtId="0" fontId="16" fillId="22" borderId="12" xfId="0" applyFont="1" applyFill="1" applyBorder="1" applyAlignment="1" applyProtection="1">
      <alignment vertical="center"/>
      <protection locked="0"/>
    </xf>
    <xf numFmtId="0" fontId="16" fillId="22" borderId="22" xfId="0" applyFont="1" applyFill="1" applyBorder="1" applyAlignment="1" applyProtection="1">
      <alignment vertical="center"/>
      <protection locked="0"/>
    </xf>
    <xf numFmtId="3" fontId="18" fillId="26" borderId="10" xfId="0" applyNumberFormat="1" applyFont="1" applyFill="1" applyBorder="1" applyAlignment="1">
      <alignment horizontal="center" vertical="center"/>
    </xf>
    <xf numFmtId="3" fontId="23" fillId="26" borderId="0" xfId="0" applyNumberFormat="1" applyFont="1" applyFill="1" applyAlignment="1">
      <alignment horizontal="center" vertical="center"/>
    </xf>
    <xf numFmtId="3" fontId="4" fillId="0" borderId="0" xfId="0" applyNumberFormat="1" applyFont="1" applyAlignment="1">
      <alignment vertical="center"/>
    </xf>
    <xf numFmtId="0" fontId="4" fillId="0" borderId="0" xfId="0" applyFont="1" applyAlignment="1">
      <alignment horizontal="centerContinuous" vertical="center"/>
    </xf>
    <xf numFmtId="0" fontId="4" fillId="4" borderId="16" xfId="0" applyFont="1" applyFill="1" applyBorder="1" applyAlignment="1" applyProtection="1">
      <alignment horizontal="centerContinuous" vertical="center"/>
      <protection/>
    </xf>
    <xf numFmtId="1" fontId="4" fillId="4" borderId="11" xfId="0" applyNumberFormat="1" applyFont="1" applyFill="1" applyBorder="1" applyAlignment="1" applyProtection="1">
      <alignment horizontal="centerContinuous" vertical="center"/>
      <protection/>
    </xf>
    <xf numFmtId="0" fontId="4" fillId="4" borderId="12" xfId="0" applyFont="1" applyFill="1" applyBorder="1" applyAlignment="1">
      <alignment horizontal="center" vertical="center"/>
    </xf>
    <xf numFmtId="164" fontId="4" fillId="4" borderId="10" xfId="0" applyNumberFormat="1" applyFont="1" applyFill="1" applyBorder="1" applyAlignment="1" applyProtection="1">
      <alignment vertical="center"/>
      <protection/>
    </xf>
    <xf numFmtId="37" fontId="4" fillId="4" borderId="10" xfId="0" applyNumberFormat="1" applyFont="1" applyFill="1" applyBorder="1" applyAlignment="1" applyProtection="1">
      <alignment vertical="center"/>
      <protection locked="0"/>
    </xf>
    <xf numFmtId="1" fontId="4" fillId="4" borderId="0" xfId="0" applyNumberFormat="1" applyFont="1" applyFill="1" applyAlignment="1" applyProtection="1">
      <alignment vertical="center"/>
      <protection/>
    </xf>
    <xf numFmtId="1" fontId="6" fillId="4" borderId="0" xfId="0" applyNumberFormat="1" applyFont="1" applyFill="1" applyAlignment="1" applyProtection="1">
      <alignment horizontal="center" vertical="center"/>
      <protection/>
    </xf>
    <xf numFmtId="37" fontId="4" fillId="0" borderId="0" xfId="0" applyNumberFormat="1" applyFont="1" applyBorder="1" applyAlignment="1" applyProtection="1">
      <alignment horizontal="fill" vertical="center"/>
      <protection locked="0"/>
    </xf>
    <xf numFmtId="0" fontId="4" fillId="0" borderId="0" xfId="0" applyFont="1" applyAlignment="1" applyProtection="1">
      <alignment horizontal="centerContinuous" vertical="center"/>
      <protection locked="0"/>
    </xf>
    <xf numFmtId="0" fontId="4" fillId="0" borderId="0" xfId="0" applyFont="1" applyFill="1" applyAlignment="1" applyProtection="1">
      <alignment vertical="center"/>
      <protection locked="0"/>
    </xf>
    <xf numFmtId="0" fontId="4" fillId="4" borderId="16" xfId="0" applyFont="1" applyFill="1" applyBorder="1" applyAlignment="1" applyProtection="1">
      <alignment horizontal="center" vertical="center" wrapText="1"/>
      <protection/>
    </xf>
    <xf numFmtId="0" fontId="4" fillId="4" borderId="1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 fontId="4" fillId="22" borderId="10" xfId="0" applyNumberFormat="1" applyFont="1" applyFill="1" applyBorder="1" applyAlignment="1" applyProtection="1">
      <alignment horizontal="center" vertical="center"/>
      <protection locked="0"/>
    </xf>
    <xf numFmtId="184" fontId="4" fillId="4" borderId="10" xfId="0" applyNumberFormat="1" applyFont="1" applyFill="1" applyBorder="1" applyAlignment="1" applyProtection="1">
      <alignment horizontal="center" vertical="center"/>
      <protection/>
    </xf>
    <xf numFmtId="3" fontId="4" fillId="22" borderId="16" xfId="0" applyNumberFormat="1" applyFont="1" applyFill="1" applyBorder="1" applyAlignment="1" applyProtection="1">
      <alignment horizontal="center" vertical="center"/>
      <protection locked="0"/>
    </xf>
    <xf numFmtId="3" fontId="4" fillId="4" borderId="23" xfId="0" applyNumberFormat="1" applyFont="1" applyFill="1" applyBorder="1" applyAlignment="1" applyProtection="1">
      <alignment horizontal="center" vertical="center"/>
      <protection/>
    </xf>
    <xf numFmtId="184" fontId="4" fillId="4" borderId="23" xfId="0" applyNumberFormat="1" applyFont="1" applyFill="1" applyBorder="1" applyAlignment="1" applyProtection="1">
      <alignment horizontal="center" vertical="center"/>
      <protection/>
    </xf>
    <xf numFmtId="184" fontId="4" fillId="4" borderId="17" xfId="0" applyNumberFormat="1" applyFont="1" applyFill="1" applyBorder="1" applyAlignment="1" applyProtection="1">
      <alignment horizontal="center" vertical="center"/>
      <protection/>
    </xf>
    <xf numFmtId="184" fontId="4" fillId="4" borderId="0" xfId="0" applyNumberFormat="1" applyFont="1" applyFill="1" applyBorder="1" applyAlignment="1" applyProtection="1">
      <alignment horizontal="center" vertical="center"/>
      <protection/>
    </xf>
    <xf numFmtId="3" fontId="4" fillId="4" borderId="17" xfId="0" applyNumberFormat="1" applyFont="1" applyFill="1" applyBorder="1" applyAlignment="1">
      <alignment horizontal="center" vertical="center"/>
    </xf>
    <xf numFmtId="184" fontId="4" fillId="4" borderId="17" xfId="0" applyNumberFormat="1" applyFont="1" applyFill="1" applyBorder="1" applyAlignment="1">
      <alignment horizontal="center" vertical="center"/>
    </xf>
    <xf numFmtId="0" fontId="6" fillId="0" borderId="0" xfId="0" applyFont="1" applyAlignment="1">
      <alignment vertical="center"/>
    </xf>
    <xf numFmtId="0" fontId="5" fillId="0" borderId="0" xfId="0" applyFont="1" applyAlignment="1">
      <alignment vertical="center" wrapText="1"/>
    </xf>
    <xf numFmtId="0" fontId="28" fillId="0" borderId="0" xfId="0" applyFont="1" applyAlignment="1">
      <alignment vertical="center"/>
    </xf>
    <xf numFmtId="0" fontId="4" fillId="0" borderId="0" xfId="194" applyFont="1" applyAlignment="1">
      <alignment vertical="center" wrapText="1"/>
      <protection/>
    </xf>
    <xf numFmtId="0" fontId="28" fillId="0" borderId="0" xfId="0" applyFont="1" applyAlignment="1">
      <alignment/>
    </xf>
    <xf numFmtId="0" fontId="31" fillId="0" borderId="0" xfId="0" applyFont="1" applyAlignment="1">
      <alignment horizontal="center"/>
    </xf>
    <xf numFmtId="0" fontId="5" fillId="0" borderId="0" xfId="0" applyFont="1" applyAlignment="1">
      <alignment wrapText="1"/>
    </xf>
    <xf numFmtId="0" fontId="27" fillId="0" borderId="0" xfId="0" applyFont="1" applyAlignment="1">
      <alignment wrapText="1"/>
    </xf>
    <xf numFmtId="0" fontId="4" fillId="0" borderId="0" xfId="473" applyFont="1" applyAlignment="1">
      <alignment vertical="center"/>
      <protection/>
    </xf>
    <xf numFmtId="0" fontId="0" fillId="0" borderId="0" xfId="0" applyAlignment="1">
      <alignment/>
    </xf>
    <xf numFmtId="0" fontId="11" fillId="0" borderId="0" xfId="548">
      <alignment/>
      <protection/>
    </xf>
    <xf numFmtId="0" fontId="4" fillId="0" borderId="0" xfId="548" applyFont="1" applyAlignment="1">
      <alignment horizontal="left" vertical="center"/>
      <protection/>
    </xf>
    <xf numFmtId="0" fontId="11" fillId="0" borderId="0" xfId="548" applyNumberFormat="1" applyFont="1" applyAlignment="1">
      <alignment horizontal="left" vertical="center"/>
      <protection/>
    </xf>
    <xf numFmtId="185" fontId="16" fillId="0" borderId="0" xfId="548" applyNumberFormat="1" applyFont="1" applyAlignment="1">
      <alignment horizontal="left" vertical="center"/>
      <protection/>
    </xf>
    <xf numFmtId="49" fontId="4" fillId="0" borderId="0" xfId="548" applyNumberFormat="1" applyFont="1" applyAlignment="1">
      <alignment horizontal="left" vertical="center"/>
      <protection/>
    </xf>
    <xf numFmtId="0" fontId="16" fillId="0" borderId="0" xfId="548" applyFont="1" applyAlignment="1">
      <alignment horizontal="left" vertical="center"/>
      <protection/>
    </xf>
    <xf numFmtId="186" fontId="16" fillId="0" borderId="0" xfId="548" applyNumberFormat="1" applyFont="1" applyAlignment="1">
      <alignment horizontal="left" vertical="center"/>
      <protection/>
    </xf>
    <xf numFmtId="0" fontId="1" fillId="0" borderId="0" xfId="0" applyFont="1" applyAlignment="1">
      <alignment/>
    </xf>
    <xf numFmtId="0" fontId="0" fillId="0" borderId="0" xfId="0" applyFont="1" applyAlignment="1">
      <alignment/>
    </xf>
    <xf numFmtId="0" fontId="24"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6" fillId="0" borderId="0" xfId="164" applyFont="1" applyAlignment="1">
      <alignment vertical="center"/>
      <protection/>
    </xf>
    <xf numFmtId="0" fontId="0" fillId="0" borderId="0" xfId="276" applyFont="1">
      <alignment/>
      <protection/>
    </xf>
    <xf numFmtId="0" fontId="0" fillId="0" borderId="0" xfId="276" applyFont="1" applyFill="1">
      <alignment/>
      <protection/>
    </xf>
    <xf numFmtId="0" fontId="4" fillId="0" borderId="0" xfId="169" applyFont="1" applyAlignment="1">
      <alignment vertical="center"/>
      <protection/>
    </xf>
    <xf numFmtId="0" fontId="4" fillId="0" borderId="0" xfId="116" applyFont="1" applyAlignment="1">
      <alignment vertical="center" wrapText="1"/>
      <protection/>
    </xf>
    <xf numFmtId="0" fontId="4" fillId="4" borderId="0" xfId="0" applyFont="1" applyFill="1" applyAlignment="1">
      <alignment/>
    </xf>
    <xf numFmtId="0" fontId="6" fillId="0" borderId="0" xfId="163" applyFont="1" applyAlignment="1">
      <alignment vertical="center"/>
      <protection/>
    </xf>
    <xf numFmtId="0" fontId="36" fillId="4" borderId="0" xfId="0" applyFont="1" applyFill="1" applyAlignment="1" applyProtection="1">
      <alignment horizontal="right" vertical="center"/>
      <protection locked="0"/>
    </xf>
    <xf numFmtId="0" fontId="8" fillId="4" borderId="0" xfId="0" applyFont="1" applyFill="1" applyAlignment="1" applyProtection="1">
      <alignment horizontal="left" vertical="center"/>
      <protection locked="0"/>
    </xf>
    <xf numFmtId="14" fontId="4" fillId="22" borderId="10" xfId="0" applyNumberFormat="1" applyFont="1" applyFill="1" applyBorder="1" applyAlignment="1" applyProtection="1">
      <alignment horizontal="center" vertical="center"/>
      <protection locked="0"/>
    </xf>
    <xf numFmtId="3" fontId="16" fillId="9" borderId="12" xfId="0" applyNumberFormat="1" applyFont="1" applyFill="1" applyBorder="1" applyAlignment="1">
      <alignment horizontal="center" vertical="center"/>
    </xf>
    <xf numFmtId="3" fontId="4" fillId="9" borderId="11" xfId="0" applyNumberFormat="1" applyFont="1" applyFill="1" applyBorder="1" applyAlignment="1" applyProtection="1">
      <alignment vertical="center"/>
      <protection/>
    </xf>
    <xf numFmtId="3" fontId="17" fillId="23" borderId="11" xfId="0" applyNumberFormat="1" applyFont="1" applyFill="1" applyBorder="1" applyAlignment="1" applyProtection="1">
      <alignment horizontal="center" vertical="center"/>
      <protection/>
    </xf>
    <xf numFmtId="3" fontId="4" fillId="4" borderId="11" xfId="0" applyNumberFormat="1" applyFont="1" applyFill="1" applyBorder="1" applyAlignment="1" applyProtection="1">
      <alignment vertical="center"/>
      <protection/>
    </xf>
    <xf numFmtId="0" fontId="4" fillId="4" borderId="13" xfId="0" applyNumberFormat="1" applyFont="1" applyFill="1" applyBorder="1" applyAlignment="1" applyProtection="1">
      <alignment horizontal="center" vertical="center"/>
      <protection/>
    </xf>
    <xf numFmtId="3" fontId="4" fillId="4" borderId="11" xfId="42" applyNumberFormat="1" applyFont="1" applyFill="1" applyBorder="1" applyAlignment="1" applyProtection="1">
      <alignment horizontal="right" vertical="center"/>
      <protection/>
    </xf>
    <xf numFmtId="3" fontId="5" fillId="9" borderId="11" xfId="0" applyNumberFormat="1" applyFont="1" applyFill="1" applyBorder="1" applyAlignment="1" applyProtection="1">
      <alignment vertical="center"/>
      <protection/>
    </xf>
    <xf numFmtId="37" fontId="4" fillId="4" borderId="0" xfId="0" applyNumberFormat="1" applyFont="1" applyFill="1" applyBorder="1" applyAlignment="1" applyProtection="1">
      <alignment horizontal="fill" vertical="center"/>
      <protection/>
    </xf>
    <xf numFmtId="37" fontId="4" fillId="4" borderId="0" xfId="0" applyNumberFormat="1" applyFont="1" applyFill="1" applyAlignment="1" applyProtection="1">
      <alignment horizontal="left" vertical="center"/>
      <protection locked="0"/>
    </xf>
    <xf numFmtId="0" fontId="4" fillId="4" borderId="0" xfId="0" applyNumberFormat="1" applyFont="1" applyFill="1" applyAlignment="1" applyProtection="1">
      <alignment horizontal="center" vertical="center"/>
      <protection locked="0"/>
    </xf>
    <xf numFmtId="37" fontId="4" fillId="4" borderId="24" xfId="0" applyNumberFormat="1" applyFont="1" applyFill="1" applyBorder="1" applyAlignment="1" applyProtection="1">
      <alignment horizontal="center" vertical="center"/>
      <protection/>
    </xf>
    <xf numFmtId="0" fontId="4" fillId="4" borderId="0" xfId="0" applyNumberFormat="1" applyFont="1" applyFill="1" applyAlignment="1" applyProtection="1">
      <alignment horizontal="center" vertical="center"/>
      <protection/>
    </xf>
    <xf numFmtId="37" fontId="4" fillId="4" borderId="20" xfId="122" applyNumberFormat="1" applyFont="1" applyFill="1" applyBorder="1" applyAlignment="1" applyProtection="1">
      <alignment horizontal="center" vertical="center"/>
      <protection/>
    </xf>
    <xf numFmtId="37" fontId="4" fillId="4" borderId="12" xfId="122" applyNumberFormat="1" applyFont="1" applyFill="1" applyBorder="1" applyAlignment="1" applyProtection="1">
      <alignment horizontal="center" vertical="center"/>
      <protection/>
    </xf>
    <xf numFmtId="3" fontId="4" fillId="26" borderId="11" xfId="0" applyNumberFormat="1" applyFont="1" applyFill="1" applyBorder="1" applyAlignment="1" applyProtection="1">
      <alignment vertical="center"/>
      <protection/>
    </xf>
    <xf numFmtId="14" fontId="4" fillId="22" borderId="10" xfId="0" applyNumberFormat="1" applyFont="1" applyFill="1" applyBorder="1" applyAlignment="1" applyProtection="1">
      <alignment vertical="center"/>
      <protection locked="0"/>
    </xf>
    <xf numFmtId="0" fontId="12" fillId="0" borderId="0" xfId="0" applyFont="1" applyAlignment="1">
      <alignment wrapText="1"/>
    </xf>
    <xf numFmtId="3" fontId="17" fillId="23" borderId="16" xfId="0" applyNumberFormat="1" applyFont="1" applyFill="1" applyBorder="1" applyAlignment="1" applyProtection="1">
      <alignment horizontal="center" vertical="center"/>
      <protection/>
    </xf>
    <xf numFmtId="3" fontId="17" fillId="23" borderId="16" xfId="0" applyNumberFormat="1" applyFont="1" applyFill="1" applyBorder="1" applyAlignment="1" applyProtection="1">
      <alignment horizontal="center"/>
      <protection/>
    </xf>
    <xf numFmtId="49" fontId="4" fillId="22" borderId="10" xfId="0" applyNumberFormat="1" applyFont="1" applyFill="1" applyBorder="1" applyAlignment="1" applyProtection="1">
      <alignment vertical="center"/>
      <protection locked="0"/>
    </xf>
    <xf numFmtId="0" fontId="4" fillId="4" borderId="0" xfId="126" applyFont="1" applyFill="1" applyAlignment="1" applyProtection="1">
      <alignment horizontal="right" vertical="center"/>
      <protection/>
    </xf>
    <xf numFmtId="37" fontId="5" fillId="4" borderId="0" xfId="0" applyNumberFormat="1" applyFont="1" applyFill="1" applyAlignment="1" applyProtection="1">
      <alignment/>
      <protection/>
    </xf>
    <xf numFmtId="0" fontId="5" fillId="4" borderId="19" xfId="0" applyFont="1" applyFill="1" applyBorder="1" applyAlignment="1" applyProtection="1">
      <alignment vertical="center"/>
      <protection/>
    </xf>
    <xf numFmtId="37" fontId="5" fillId="4" borderId="0" xfId="0" applyNumberFormat="1" applyFont="1" applyFill="1" applyAlignment="1" applyProtection="1">
      <alignment vertical="center"/>
      <protection/>
    </xf>
    <xf numFmtId="0" fontId="5" fillId="4" borderId="17" xfId="0" applyFont="1" applyFill="1" applyBorder="1" applyAlignment="1" applyProtection="1">
      <alignment vertical="center"/>
      <protection/>
    </xf>
    <xf numFmtId="3" fontId="4" fillId="9" borderId="11" xfId="0" applyNumberFormat="1" applyFont="1" applyFill="1" applyBorder="1" applyAlignment="1" applyProtection="1">
      <alignment horizontal="right" vertical="center"/>
      <protection/>
    </xf>
    <xf numFmtId="3" fontId="5" fillId="9" borderId="11" xfId="0" applyNumberFormat="1" applyFont="1" applyFill="1" applyBorder="1" applyAlignment="1" applyProtection="1">
      <alignment horizontal="right" vertical="center"/>
      <protection/>
    </xf>
    <xf numFmtId="3" fontId="4" fillId="22" borderId="11" xfId="0" applyNumberFormat="1" applyFont="1" applyFill="1" applyBorder="1" applyAlignment="1" applyProtection="1">
      <alignment horizontal="right" vertical="center"/>
      <protection locked="0"/>
    </xf>
    <xf numFmtId="3" fontId="4" fillId="4" borderId="11" xfId="0" applyNumberFormat="1" applyFont="1" applyFill="1" applyBorder="1" applyAlignment="1" applyProtection="1">
      <alignment horizontal="right" vertical="center"/>
      <protection/>
    </xf>
    <xf numFmtId="3" fontId="4"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0" fontId="5" fillId="4" borderId="0" xfId="102" applyFont="1" applyFill="1" applyAlignment="1" applyProtection="1">
      <alignment vertical="center"/>
      <protection/>
    </xf>
    <xf numFmtId="0" fontId="44" fillId="0" borderId="0" xfId="0" applyFont="1" applyAlignment="1" applyProtection="1">
      <alignment vertical="center"/>
      <protection/>
    </xf>
    <xf numFmtId="37" fontId="4" fillId="4" borderId="17" xfId="0" applyNumberFormat="1" applyFont="1" applyFill="1" applyBorder="1" applyAlignment="1" applyProtection="1">
      <alignment horizontal="center" vertical="center"/>
      <protection locked="0"/>
    </xf>
    <xf numFmtId="0" fontId="21" fillId="4" borderId="0" xfId="0" applyFont="1" applyFill="1" applyAlignment="1" applyProtection="1">
      <alignment horizontal="center" vertical="center"/>
      <protection/>
    </xf>
    <xf numFmtId="0" fontId="41" fillId="0" borderId="0" xfId="0" applyFont="1" applyAlignment="1">
      <alignment/>
    </xf>
    <xf numFmtId="0" fontId="41" fillId="0" borderId="0" xfId="0" applyFont="1" applyBorder="1" applyAlignment="1">
      <alignment/>
    </xf>
    <xf numFmtId="0" fontId="41" fillId="0" borderId="0" xfId="0" applyFont="1" applyBorder="1" applyAlignment="1">
      <alignment horizontal="centerContinuous"/>
    </xf>
    <xf numFmtId="37" fontId="4" fillId="4" borderId="16" xfId="102" applyNumberFormat="1" applyFont="1" applyFill="1" applyBorder="1" applyAlignment="1" applyProtection="1">
      <alignment horizontal="center"/>
      <protection/>
    </xf>
    <xf numFmtId="37" fontId="4" fillId="4" borderId="12" xfId="102" applyNumberFormat="1" applyFont="1" applyFill="1" applyBorder="1" applyAlignment="1" applyProtection="1">
      <alignment horizontal="center"/>
      <protection/>
    </xf>
    <xf numFmtId="0" fontId="44" fillId="0" borderId="0" xfId="0" applyFont="1" applyAlignment="1">
      <alignment vertical="center"/>
    </xf>
    <xf numFmtId="0" fontId="0" fillId="0" borderId="0" xfId="102">
      <alignment/>
      <protection/>
    </xf>
    <xf numFmtId="0" fontId="4" fillId="4" borderId="0" xfId="102" applyFont="1" applyFill="1" applyBorder="1" applyAlignment="1" applyProtection="1">
      <alignment vertical="center"/>
      <protection/>
    </xf>
    <xf numFmtId="0" fontId="4" fillId="4" borderId="28" xfId="102" applyFont="1" applyFill="1" applyBorder="1" applyAlignment="1" applyProtection="1">
      <alignment vertical="center"/>
      <protection/>
    </xf>
    <xf numFmtId="0" fontId="4" fillId="4" borderId="22" xfId="102" applyFont="1" applyFill="1" applyBorder="1" applyAlignment="1" applyProtection="1">
      <alignment vertical="center"/>
      <protection/>
    </xf>
    <xf numFmtId="189" fontId="14" fillId="4" borderId="28" xfId="102" applyNumberFormat="1" applyFont="1" applyFill="1" applyBorder="1" applyAlignment="1" applyProtection="1">
      <alignment horizontal="center" vertical="center"/>
      <protection/>
    </xf>
    <xf numFmtId="0" fontId="14" fillId="4" borderId="0" xfId="102" applyFont="1" applyFill="1" applyBorder="1" applyAlignment="1" applyProtection="1">
      <alignment horizontal="left" vertical="center"/>
      <protection/>
    </xf>
    <xf numFmtId="0" fontId="14" fillId="4" borderId="22" xfId="102" applyFont="1" applyFill="1" applyBorder="1" applyAlignment="1" applyProtection="1">
      <alignment vertical="center"/>
      <protection/>
    </xf>
    <xf numFmtId="0" fontId="14" fillId="4" borderId="0" xfId="102" applyFont="1" applyFill="1" applyBorder="1" applyAlignment="1" applyProtection="1">
      <alignment vertical="center"/>
      <protection/>
    </xf>
    <xf numFmtId="189" fontId="14" fillId="4" borderId="13" xfId="102" applyNumberFormat="1" applyFont="1" applyFill="1" applyBorder="1" applyAlignment="1" applyProtection="1">
      <alignment horizontal="center" vertical="center"/>
      <protection/>
    </xf>
    <xf numFmtId="189" fontId="14" fillId="4" borderId="28" xfId="102" applyNumberFormat="1" applyFont="1" applyFill="1" applyBorder="1" applyAlignment="1" applyProtection="1">
      <alignment vertical="center"/>
      <protection/>
    </xf>
    <xf numFmtId="0" fontId="39" fillId="26" borderId="17" xfId="102" applyFont="1" applyFill="1" applyBorder="1" applyAlignment="1" applyProtection="1">
      <alignment vertical="center"/>
      <protection/>
    </xf>
    <xf numFmtId="0" fontId="14" fillId="26" borderId="19" xfId="102" applyFont="1" applyFill="1" applyBorder="1" applyAlignment="1" applyProtection="1">
      <alignment vertical="center"/>
      <protection/>
    </xf>
    <xf numFmtId="0" fontId="4" fillId="26" borderId="19" xfId="102" applyFont="1" applyFill="1" applyBorder="1" applyAlignment="1" applyProtection="1">
      <alignment vertical="center"/>
      <protection/>
    </xf>
    <xf numFmtId="189" fontId="39" fillId="26" borderId="13" xfId="102" applyNumberFormat="1" applyFont="1" applyFill="1" applyBorder="1" applyAlignment="1" applyProtection="1">
      <alignment horizontal="center" vertical="center"/>
      <protection/>
    </xf>
    <xf numFmtId="0" fontId="4" fillId="0" borderId="0" xfId="102" applyFont="1" applyFill="1" applyBorder="1" applyAlignment="1" applyProtection="1">
      <alignment vertical="center"/>
      <protection/>
    </xf>
    <xf numFmtId="0" fontId="14" fillId="4" borderId="28" xfId="102" applyFont="1" applyFill="1" applyBorder="1" applyAlignment="1" applyProtection="1">
      <alignment vertical="center"/>
      <protection/>
    </xf>
    <xf numFmtId="0" fontId="14" fillId="26" borderId="17" xfId="102" applyFont="1" applyFill="1" applyBorder="1" applyAlignment="1" applyProtection="1">
      <alignment vertical="center"/>
      <protection/>
    </xf>
    <xf numFmtId="0" fontId="4" fillId="0" borderId="0" xfId="102" applyFont="1">
      <alignment/>
      <protection/>
    </xf>
    <xf numFmtId="0" fontId="42" fillId="0" borderId="0" xfId="102" applyFont="1" applyAlignment="1">
      <alignment horizontal="center"/>
      <protection/>
    </xf>
    <xf numFmtId="0" fontId="4" fillId="0" borderId="0" xfId="102" applyFont="1" applyAlignment="1">
      <alignment wrapText="1"/>
      <protection/>
    </xf>
    <xf numFmtId="0" fontId="43" fillId="0" borderId="0" xfId="82" applyFont="1" applyAlignment="1" applyProtection="1">
      <alignment/>
      <protection/>
    </xf>
    <xf numFmtId="0" fontId="4" fillId="0" borderId="0" xfId="126" applyFont="1" applyAlignment="1">
      <alignment vertical="center" wrapText="1"/>
      <protection/>
    </xf>
    <xf numFmtId="0" fontId="4" fillId="0" borderId="0" xfId="126" applyFont="1" applyAlignment="1">
      <alignment vertical="center"/>
      <protection/>
    </xf>
    <xf numFmtId="1" fontId="8" fillId="4" borderId="16" xfId="0" applyNumberFormat="1" applyFont="1" applyFill="1" applyBorder="1" applyAlignment="1" applyProtection="1">
      <alignment horizontal="center" vertical="center"/>
      <protection/>
    </xf>
    <xf numFmtId="37" fontId="8" fillId="4" borderId="16" xfId="0" applyNumberFormat="1" applyFont="1" applyFill="1" applyBorder="1" applyAlignment="1" applyProtection="1">
      <alignment horizontal="center" vertical="center"/>
      <protection/>
    </xf>
    <xf numFmtId="1" fontId="8" fillId="4" borderId="21" xfId="0" applyNumberFormat="1" applyFont="1" applyFill="1" applyBorder="1" applyAlignment="1" applyProtection="1">
      <alignment horizontal="center" vertical="center"/>
      <protection/>
    </xf>
    <xf numFmtId="37" fontId="8" fillId="4" borderId="21" xfId="0" applyNumberFormat="1" applyFont="1" applyFill="1" applyBorder="1" applyAlignment="1" applyProtection="1">
      <alignment horizontal="center" vertical="center"/>
      <protection/>
    </xf>
    <xf numFmtId="0" fontId="14" fillId="27" borderId="28" xfId="122" applyFont="1" applyFill="1" applyBorder="1" applyProtection="1">
      <alignment/>
      <protection/>
    </xf>
    <xf numFmtId="0" fontId="4" fillId="27" borderId="0" xfId="122" applyFont="1" applyFill="1" applyBorder="1" applyProtection="1">
      <alignment/>
      <protection/>
    </xf>
    <xf numFmtId="189" fontId="4" fillId="27" borderId="22" xfId="122" applyNumberFormat="1" applyFont="1" applyFill="1" applyBorder="1" applyAlignment="1" applyProtection="1">
      <alignment horizontal="center"/>
      <protection/>
    </xf>
    <xf numFmtId="0" fontId="4" fillId="27" borderId="13" xfId="122" applyFont="1" applyFill="1" applyBorder="1" applyProtection="1">
      <alignment/>
      <protection/>
    </xf>
    <xf numFmtId="0" fontId="4" fillId="27" borderId="17" xfId="122" applyFont="1" applyFill="1" applyBorder="1" applyProtection="1">
      <alignment/>
      <protection/>
    </xf>
    <xf numFmtId="189" fontId="4" fillId="28" borderId="19" xfId="122" applyNumberFormat="1" applyFont="1" applyFill="1" applyBorder="1" applyAlignment="1" applyProtection="1">
      <alignment horizontal="center"/>
      <protection/>
    </xf>
    <xf numFmtId="0" fontId="4" fillId="0" borderId="0" xfId="122" applyFont="1" applyFill="1" applyBorder="1" applyProtection="1">
      <alignment/>
      <protection/>
    </xf>
    <xf numFmtId="0" fontId="4" fillId="27" borderId="28" xfId="122" applyFont="1" applyFill="1" applyBorder="1" applyProtection="1">
      <alignment/>
      <protection/>
    </xf>
    <xf numFmtId="0" fontId="4" fillId="27" borderId="22" xfId="122" applyFont="1" applyFill="1" applyBorder="1" applyProtection="1">
      <alignment/>
      <protection/>
    </xf>
    <xf numFmtId="183" fontId="4" fillId="27" borderId="22" xfId="122" applyNumberFormat="1" applyFont="1" applyFill="1" applyBorder="1" applyAlignment="1" applyProtection="1">
      <alignment horizontal="center"/>
      <protection/>
    </xf>
    <xf numFmtId="0" fontId="4" fillId="28" borderId="28" xfId="122" applyFont="1" applyFill="1" applyBorder="1" applyProtection="1">
      <alignment/>
      <protection/>
    </xf>
    <xf numFmtId="0" fontId="4" fillId="28" borderId="0" xfId="122" applyFont="1" applyFill="1" applyBorder="1" applyProtection="1">
      <alignment/>
      <protection/>
    </xf>
    <xf numFmtId="0" fontId="4" fillId="28" borderId="13" xfId="122" applyFont="1" applyFill="1" applyBorder="1" applyProtection="1">
      <alignment/>
      <protection/>
    </xf>
    <xf numFmtId="0" fontId="4" fillId="28" borderId="17" xfId="122" applyFont="1" applyFill="1" applyBorder="1" applyProtection="1">
      <alignment/>
      <protection/>
    </xf>
    <xf numFmtId="0" fontId="4" fillId="0" borderId="0" xfId="122" applyFont="1" applyProtection="1">
      <alignment/>
      <protection/>
    </xf>
    <xf numFmtId="189" fontId="4" fillId="27" borderId="19" xfId="122" applyNumberFormat="1" applyFont="1" applyFill="1" applyBorder="1" applyAlignment="1" applyProtection="1">
      <alignment horizontal="center"/>
      <protection/>
    </xf>
    <xf numFmtId="184" fontId="4" fillId="29" borderId="22" xfId="122" applyNumberFormat="1" applyFont="1" applyFill="1" applyBorder="1" applyAlignment="1" applyProtection="1">
      <alignment horizontal="center"/>
      <protection locked="0"/>
    </xf>
    <xf numFmtId="191" fontId="4" fillId="4" borderId="10" xfId="0" applyNumberFormat="1" applyFont="1" applyFill="1" applyBorder="1" applyAlignment="1" applyProtection="1">
      <alignment vertical="center"/>
      <protection/>
    </xf>
    <xf numFmtId="0" fontId="84" fillId="27" borderId="0" xfId="0" applyFont="1" applyFill="1" applyAlignment="1">
      <alignment/>
    </xf>
    <xf numFmtId="0" fontId="84" fillId="27" borderId="29" xfId="0" applyFont="1" applyFill="1" applyBorder="1" applyAlignment="1">
      <alignment/>
    </xf>
    <xf numFmtId="0" fontId="85" fillId="0" borderId="0" xfId="0" applyFont="1" applyBorder="1" applyAlignment="1">
      <alignment/>
    </xf>
    <xf numFmtId="0" fontId="84" fillId="0" borderId="0" xfId="0" applyFont="1" applyBorder="1" applyAlignment="1">
      <alignment horizontal="centerContinuous"/>
    </xf>
    <xf numFmtId="0" fontId="84" fillId="27" borderId="29" xfId="0" applyFont="1" applyFill="1" applyBorder="1" applyAlignment="1">
      <alignment/>
    </xf>
    <xf numFmtId="0" fontId="84" fillId="27" borderId="30" xfId="0" applyFont="1" applyFill="1" applyBorder="1" applyAlignment="1">
      <alignment horizontal="centerContinuous" vertical="center"/>
    </xf>
    <xf numFmtId="189" fontId="84" fillId="27" borderId="0" xfId="0" applyNumberFormat="1" applyFont="1" applyFill="1" applyBorder="1" applyAlignment="1">
      <alignment horizontal="centerContinuous" vertical="center"/>
    </xf>
    <xf numFmtId="0" fontId="84" fillId="27" borderId="0" xfId="0" applyFont="1" applyFill="1" applyBorder="1" applyAlignment="1">
      <alignment horizontal="centerContinuous" vertical="center"/>
    </xf>
    <xf numFmtId="184" fontId="84" fillId="27" borderId="0" xfId="0" applyNumberFormat="1" applyFont="1" applyFill="1" applyBorder="1" applyAlignment="1" applyProtection="1">
      <alignment horizontal="centerContinuous" vertical="center"/>
      <protection locked="0"/>
    </xf>
    <xf numFmtId="190" fontId="84" fillId="27" borderId="0" xfId="0" applyNumberFormat="1" applyFont="1" applyFill="1" applyBorder="1" applyAlignment="1">
      <alignment horizontal="centerContinuous" vertical="center"/>
    </xf>
    <xf numFmtId="0" fontId="84" fillId="27" borderId="31" xfId="0" applyFont="1" applyFill="1" applyBorder="1" applyAlignment="1">
      <alignment horizontal="centerContinuous" vertical="center"/>
    </xf>
    <xf numFmtId="0" fontId="84" fillId="27" borderId="30" xfId="0" applyFont="1" applyFill="1" applyBorder="1" applyAlignment="1">
      <alignment horizontal="centerContinuous"/>
    </xf>
    <xf numFmtId="189" fontId="84" fillId="27" borderId="0" xfId="0" applyNumberFormat="1" applyFont="1" applyFill="1" applyBorder="1" applyAlignment="1">
      <alignment horizontal="centerContinuous"/>
    </xf>
    <xf numFmtId="0" fontId="84" fillId="27" borderId="0" xfId="0" applyFont="1" applyFill="1" applyBorder="1" applyAlignment="1">
      <alignment horizontal="centerContinuous"/>
    </xf>
    <xf numFmtId="184" fontId="84" fillId="27" borderId="0" xfId="0" applyNumberFormat="1" applyFont="1" applyFill="1" applyBorder="1" applyAlignment="1" applyProtection="1">
      <alignment horizontal="centerContinuous"/>
      <protection locked="0"/>
    </xf>
    <xf numFmtId="190" fontId="84" fillId="27" borderId="0" xfId="0" applyNumberFormat="1" applyFont="1" applyFill="1" applyBorder="1" applyAlignment="1">
      <alignment horizontal="centerContinuous"/>
    </xf>
    <xf numFmtId="0" fontId="84" fillId="27" borderId="31" xfId="0" applyFont="1" applyFill="1" applyBorder="1" applyAlignment="1">
      <alignment horizontal="centerContinuous"/>
    </xf>
    <xf numFmtId="0" fontId="41" fillId="30" borderId="0" xfId="0" applyFont="1" applyFill="1" applyAlignment="1">
      <alignment/>
    </xf>
    <xf numFmtId="0" fontId="41" fillId="27" borderId="0" xfId="0" applyFont="1" applyFill="1" applyAlignment="1">
      <alignment/>
    </xf>
    <xf numFmtId="0" fontId="84" fillId="30" borderId="0" xfId="0" applyFont="1" applyFill="1" applyAlignment="1">
      <alignment horizontal="center" wrapText="1"/>
    </xf>
    <xf numFmtId="0" fontId="41" fillId="27" borderId="0" xfId="0" applyFont="1" applyFill="1" applyAlignment="1">
      <alignment horizontal="center"/>
    </xf>
    <xf numFmtId="0" fontId="41" fillId="27" borderId="32" xfId="0" applyFont="1" applyFill="1" applyBorder="1" applyAlignment="1">
      <alignment/>
    </xf>
    <xf numFmtId="0" fontId="41" fillId="27" borderId="33" xfId="0" applyFont="1" applyFill="1" applyBorder="1" applyAlignment="1">
      <alignment/>
    </xf>
    <xf numFmtId="189" fontId="41" fillId="27" borderId="34" xfId="0" applyNumberFormat="1" applyFont="1" applyFill="1" applyBorder="1" applyAlignment="1">
      <alignment/>
    </xf>
    <xf numFmtId="0" fontId="41" fillId="27" borderId="0" xfId="0" applyFont="1" applyFill="1" applyBorder="1" applyAlignment="1">
      <alignment/>
    </xf>
    <xf numFmtId="0" fontId="41" fillId="27" borderId="31" xfId="0" applyFont="1" applyFill="1" applyBorder="1" applyAlignment="1">
      <alignment/>
    </xf>
    <xf numFmtId="0" fontId="41" fillId="27" borderId="35" xfId="0" applyFont="1" applyFill="1" applyBorder="1" applyAlignment="1">
      <alignment/>
    </xf>
    <xf numFmtId="0" fontId="41" fillId="27" borderId="36" xfId="0" applyFont="1" applyFill="1" applyBorder="1" applyAlignment="1">
      <alignment/>
    </xf>
    <xf numFmtId="0" fontId="41" fillId="27" borderId="37" xfId="0" applyFont="1" applyFill="1" applyBorder="1" applyAlignment="1">
      <alignment/>
    </xf>
    <xf numFmtId="0" fontId="41" fillId="27" borderId="29" xfId="0" applyFont="1" applyFill="1" applyBorder="1" applyAlignment="1">
      <alignment/>
    </xf>
    <xf numFmtId="0" fontId="41" fillId="27" borderId="30" xfId="0" applyFont="1" applyFill="1" applyBorder="1" applyAlignment="1">
      <alignment/>
    </xf>
    <xf numFmtId="189" fontId="41" fillId="29" borderId="34" xfId="0" applyNumberFormat="1" applyFont="1" applyFill="1" applyBorder="1" applyAlignment="1" applyProtection="1">
      <alignment horizontal="center"/>
      <protection locked="0"/>
    </xf>
    <xf numFmtId="184" fontId="41" fillId="27" borderId="0" xfId="0" applyNumberFormat="1" applyFont="1" applyFill="1" applyBorder="1" applyAlignment="1">
      <alignment horizontal="center"/>
    </xf>
    <xf numFmtId="189" fontId="41" fillId="0" borderId="0" xfId="0" applyNumberFormat="1" applyFont="1" applyAlignment="1">
      <alignment/>
    </xf>
    <xf numFmtId="0" fontId="41" fillId="30" borderId="0" xfId="0" applyFont="1" applyFill="1" applyBorder="1" applyAlignment="1">
      <alignment/>
    </xf>
    <xf numFmtId="0" fontId="41" fillId="27" borderId="38" xfId="0" applyFont="1" applyFill="1" applyBorder="1" applyAlignment="1">
      <alignment/>
    </xf>
    <xf numFmtId="0" fontId="41" fillId="27" borderId="24" xfId="0" applyFont="1" applyFill="1" applyBorder="1" applyAlignment="1">
      <alignment/>
    </xf>
    <xf numFmtId="0" fontId="41" fillId="27" borderId="39" xfId="0" applyFont="1" applyFill="1" applyBorder="1" applyAlignment="1">
      <alignment/>
    </xf>
    <xf numFmtId="5" fontId="41" fillId="27" borderId="36" xfId="0" applyNumberFormat="1" applyFont="1" applyFill="1" applyBorder="1" applyAlignment="1">
      <alignment horizontal="center"/>
    </xf>
    <xf numFmtId="0" fontId="41" fillId="27" borderId="36" xfId="0" applyFont="1" applyFill="1" applyBorder="1" applyAlignment="1">
      <alignment horizontal="center"/>
    </xf>
    <xf numFmtId="184" fontId="41" fillId="27" borderId="36" xfId="0" applyNumberFormat="1" applyFont="1" applyFill="1" applyBorder="1" applyAlignment="1">
      <alignment horizontal="center"/>
    </xf>
    <xf numFmtId="190" fontId="41" fillId="27" borderId="36" xfId="0" applyNumberFormat="1" applyFont="1" applyFill="1" applyBorder="1" applyAlignment="1">
      <alignment horizontal="center"/>
    </xf>
    <xf numFmtId="0" fontId="41" fillId="27" borderId="0" xfId="0" applyFont="1" applyFill="1" applyAlignment="1">
      <alignment horizontal="center" wrapText="1"/>
    </xf>
    <xf numFmtId="0" fontId="41" fillId="27" borderId="32" xfId="0" applyFont="1" applyFill="1" applyBorder="1" applyAlignment="1">
      <alignment/>
    </xf>
    <xf numFmtId="0" fontId="41" fillId="27" borderId="33" xfId="0" applyFont="1" applyFill="1" applyBorder="1" applyAlignment="1">
      <alignment/>
    </xf>
    <xf numFmtId="0" fontId="41" fillId="27" borderId="30" xfId="0" applyFont="1" applyFill="1" applyBorder="1" applyAlignment="1">
      <alignment/>
    </xf>
    <xf numFmtId="0" fontId="41" fillId="27" borderId="31" xfId="0" applyFont="1" applyFill="1" applyBorder="1" applyAlignment="1">
      <alignment/>
    </xf>
    <xf numFmtId="0" fontId="41" fillId="27" borderId="38" xfId="0" applyFont="1" applyFill="1" applyBorder="1" applyAlignment="1">
      <alignment/>
    </xf>
    <xf numFmtId="0" fontId="41" fillId="27" borderId="24" xfId="0" applyFont="1" applyFill="1" applyBorder="1" applyAlignment="1">
      <alignment/>
    </xf>
    <xf numFmtId="0" fontId="41" fillId="27" borderId="39" xfId="0" applyFont="1" applyFill="1" applyBorder="1" applyAlignment="1">
      <alignment/>
    </xf>
    <xf numFmtId="183" fontId="41" fillId="27" borderId="0" xfId="0" applyNumberFormat="1" applyFont="1" applyFill="1" applyBorder="1" applyAlignment="1">
      <alignment horizontal="center"/>
    </xf>
    <xf numFmtId="0" fontId="41" fillId="27" borderId="35" xfId="0" applyFont="1" applyFill="1" applyBorder="1" applyAlignment="1">
      <alignment/>
    </xf>
    <xf numFmtId="5" fontId="41" fillId="27" borderId="0" xfId="0" applyNumberFormat="1" applyFont="1" applyFill="1" applyBorder="1" applyAlignment="1">
      <alignment horizontal="center"/>
    </xf>
    <xf numFmtId="0" fontId="41" fillId="30" borderId="0" xfId="0" applyFont="1" applyFill="1" applyAlignment="1">
      <alignment/>
    </xf>
    <xf numFmtId="184" fontId="41" fillId="29" borderId="17" xfId="0" applyNumberFormat="1" applyFont="1" applyFill="1" applyBorder="1" applyAlignment="1" applyProtection="1">
      <alignment horizontal="center"/>
      <protection locked="0"/>
    </xf>
    <xf numFmtId="190" fontId="41" fillId="27" borderId="0" xfId="0" applyNumberFormat="1" applyFont="1" applyFill="1" applyBorder="1" applyAlignment="1">
      <alignment/>
    </xf>
    <xf numFmtId="189" fontId="41" fillId="27" borderId="36" xfId="0" applyNumberFormat="1" applyFont="1" applyFill="1" applyBorder="1" applyAlignment="1">
      <alignment horizontal="center"/>
    </xf>
    <xf numFmtId="184" fontId="41" fillId="27" borderId="36" xfId="0" applyNumberFormat="1" applyFont="1" applyFill="1" applyBorder="1" applyAlignment="1" applyProtection="1">
      <alignment horizontal="center"/>
      <protection locked="0"/>
    </xf>
    <xf numFmtId="190" fontId="41" fillId="27" borderId="36" xfId="0" applyNumberFormat="1" applyFont="1" applyFill="1" applyBorder="1" applyAlignment="1">
      <alignment/>
    </xf>
    <xf numFmtId="184" fontId="41" fillId="27" borderId="0" xfId="0" applyNumberFormat="1" applyFont="1" applyFill="1" applyBorder="1" applyAlignment="1" applyProtection="1">
      <alignment horizontal="center"/>
      <protection locked="0"/>
    </xf>
    <xf numFmtId="189" fontId="41" fillId="27" borderId="32" xfId="0" applyNumberFormat="1" applyFont="1" applyFill="1" applyBorder="1" applyAlignment="1">
      <alignment horizontal="center"/>
    </xf>
    <xf numFmtId="0" fontId="41" fillId="27" borderId="32" xfId="0" applyFont="1" applyFill="1" applyBorder="1" applyAlignment="1">
      <alignment horizontal="center"/>
    </xf>
    <xf numFmtId="184" fontId="41" fillId="27" borderId="32" xfId="0" applyNumberFormat="1" applyFont="1" applyFill="1" applyBorder="1" applyAlignment="1" applyProtection="1">
      <alignment horizontal="center"/>
      <protection locked="0"/>
    </xf>
    <xf numFmtId="190" fontId="41" fillId="27" borderId="32" xfId="0" applyNumberFormat="1" applyFont="1" applyFill="1" applyBorder="1" applyAlignment="1">
      <alignment/>
    </xf>
    <xf numFmtId="189" fontId="41" fillId="27" borderId="0" xfId="0" applyNumberFormat="1" applyFont="1" applyFill="1" applyBorder="1" applyAlignment="1" applyProtection="1">
      <alignment horizontal="center"/>
      <protection locked="0"/>
    </xf>
    <xf numFmtId="0" fontId="41" fillId="31" borderId="0" xfId="0" applyFont="1" applyFill="1" applyAlignment="1">
      <alignment/>
    </xf>
    <xf numFmtId="189" fontId="4" fillId="28" borderId="22" xfId="122" applyNumberFormat="1" applyFont="1" applyFill="1" applyBorder="1" applyAlignment="1" applyProtection="1">
      <alignment horizontal="center"/>
      <protection/>
    </xf>
    <xf numFmtId="37" fontId="4" fillId="9" borderId="12" xfId="0" applyNumberFormat="1" applyFont="1" applyFill="1" applyBorder="1" applyAlignment="1" applyProtection="1">
      <alignment vertical="center"/>
      <protection/>
    </xf>
    <xf numFmtId="164" fontId="4" fillId="9" borderId="12" xfId="0" applyNumberFormat="1" applyFont="1" applyFill="1" applyBorder="1" applyAlignment="1" applyProtection="1">
      <alignment vertical="center"/>
      <protection/>
    </xf>
    <xf numFmtId="37" fontId="4" fillId="4" borderId="40" xfId="0" applyNumberFormat="1" applyFont="1" applyFill="1" applyBorder="1" applyAlignment="1" applyProtection="1">
      <alignment vertical="center"/>
      <protection/>
    </xf>
    <xf numFmtId="0" fontId="4" fillId="4" borderId="40" xfId="0" applyFont="1" applyFill="1" applyBorder="1" applyAlignment="1" applyProtection="1">
      <alignment vertical="center"/>
      <protection/>
    </xf>
    <xf numFmtId="0" fontId="4" fillId="4" borderId="40" xfId="0" applyFont="1" applyFill="1" applyBorder="1" applyAlignment="1" applyProtection="1">
      <alignment vertical="center"/>
      <protection locked="0"/>
    </xf>
    <xf numFmtId="37" fontId="4" fillId="4" borderId="12" xfId="0" applyNumberFormat="1" applyFont="1" applyFill="1" applyBorder="1" applyAlignment="1" applyProtection="1">
      <alignment vertical="center"/>
      <protection/>
    </xf>
    <xf numFmtId="37" fontId="4" fillId="4" borderId="12" xfId="0" applyNumberFormat="1" applyFont="1" applyFill="1" applyBorder="1" applyAlignment="1" applyProtection="1">
      <alignment horizontal="fill" vertical="center"/>
      <protection/>
    </xf>
    <xf numFmtId="0" fontId="4" fillId="28" borderId="13" xfId="0" applyFont="1" applyFill="1" applyBorder="1" applyAlignment="1">
      <alignment vertical="center"/>
    </xf>
    <xf numFmtId="0" fontId="4" fillId="28" borderId="17" xfId="0" applyFont="1" applyFill="1" applyBorder="1" applyAlignment="1">
      <alignment vertical="center"/>
    </xf>
    <xf numFmtId="189" fontId="4" fillId="28" borderId="19" xfId="0" applyNumberFormat="1" applyFont="1" applyFill="1" applyBorder="1" applyAlignment="1">
      <alignment horizontal="center" vertical="center"/>
    </xf>
    <xf numFmtId="0" fontId="4" fillId="4" borderId="13" xfId="0" applyFont="1" applyFill="1" applyBorder="1" applyAlignment="1" applyProtection="1">
      <alignment horizontal="center" vertical="center"/>
      <protection/>
    </xf>
    <xf numFmtId="0" fontId="4" fillId="4" borderId="0"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protection locked="0"/>
    </xf>
    <xf numFmtId="37" fontId="4" fillId="4" borderId="0" xfId="0" applyNumberFormat="1" applyFont="1" applyFill="1" applyBorder="1" applyAlignment="1" applyProtection="1">
      <alignment horizontal="fill" vertical="center"/>
      <protection locked="0"/>
    </xf>
    <xf numFmtId="189" fontId="41" fillId="29" borderId="17" xfId="0" applyNumberFormat="1" applyFont="1" applyFill="1" applyBorder="1" applyAlignment="1" applyProtection="1">
      <alignment horizontal="center"/>
      <protection locked="0"/>
    </xf>
    <xf numFmtId="0" fontId="84" fillId="27" borderId="0" xfId="0" applyFont="1" applyFill="1" applyAlignment="1">
      <alignment horizontal="center" wrapText="1"/>
    </xf>
    <xf numFmtId="0" fontId="84" fillId="27" borderId="0" xfId="0" applyFont="1" applyFill="1" applyAlignment="1">
      <alignment horizontal="center"/>
    </xf>
    <xf numFmtId="0" fontId="41" fillId="27" borderId="0" xfId="0" applyFont="1" applyFill="1" applyBorder="1" applyAlignment="1">
      <alignment/>
    </xf>
    <xf numFmtId="0" fontId="41" fillId="27" borderId="37" xfId="0" applyFont="1" applyFill="1" applyBorder="1" applyAlignment="1">
      <alignment/>
    </xf>
    <xf numFmtId="189" fontId="41" fillId="27" borderId="0" xfId="0" applyNumberFormat="1" applyFont="1" applyFill="1" applyBorder="1" applyAlignment="1">
      <alignment horizontal="center"/>
    </xf>
    <xf numFmtId="0" fontId="41" fillId="27" borderId="0" xfId="0" applyFont="1" applyFill="1" applyBorder="1" applyAlignment="1">
      <alignment horizontal="center"/>
    </xf>
    <xf numFmtId="0" fontId="41" fillId="27" borderId="24" xfId="0" applyFont="1" applyFill="1" applyBorder="1" applyAlignment="1">
      <alignment horizontal="center"/>
    </xf>
    <xf numFmtId="190" fontId="41" fillId="27" borderId="0" xfId="0" applyNumberFormat="1" applyFont="1" applyFill="1" applyBorder="1" applyAlignment="1">
      <alignment horizontal="center"/>
    </xf>
    <xf numFmtId="0" fontId="4" fillId="4" borderId="22" xfId="0" applyFont="1" applyFill="1" applyBorder="1" applyAlignment="1" applyProtection="1">
      <alignment horizontal="center" vertical="center"/>
      <protection/>
    </xf>
    <xf numFmtId="0" fontId="4" fillId="4" borderId="15" xfId="0" applyFont="1" applyFill="1" applyBorder="1" applyAlignment="1" applyProtection="1">
      <alignment horizontal="center" vertical="center"/>
      <protection/>
    </xf>
    <xf numFmtId="0" fontId="4" fillId="4" borderId="19" xfId="0" applyFont="1" applyFill="1" applyBorder="1" applyAlignment="1" applyProtection="1">
      <alignment horizontal="center" vertical="center"/>
      <protection/>
    </xf>
    <xf numFmtId="0" fontId="4" fillId="4" borderId="28" xfId="0" applyFont="1" applyFill="1" applyBorder="1" applyAlignment="1" applyProtection="1">
      <alignment horizontal="center" vertical="center"/>
      <protection/>
    </xf>
    <xf numFmtId="1" fontId="4" fillId="4" borderId="21" xfId="0" applyNumberFormat="1" applyFont="1" applyFill="1" applyBorder="1" applyAlignment="1" applyProtection="1">
      <alignment horizontal="center" vertical="center"/>
      <protection/>
    </xf>
    <xf numFmtId="37" fontId="4" fillId="4" borderId="21" xfId="0" applyNumberFormat="1" applyFont="1" applyFill="1" applyBorder="1" applyAlignment="1" applyProtection="1">
      <alignment horizontal="center" vertical="center"/>
      <protection/>
    </xf>
    <xf numFmtId="1" fontId="4" fillId="4" borderId="16" xfId="0" applyNumberFormat="1" applyFont="1" applyFill="1" applyBorder="1" applyAlignment="1" applyProtection="1">
      <alignment horizontal="center"/>
      <protection/>
    </xf>
    <xf numFmtId="37" fontId="4" fillId="4" borderId="16" xfId="0" applyNumberFormat="1" applyFont="1" applyFill="1" applyBorder="1" applyAlignment="1" applyProtection="1">
      <alignment horizontal="center"/>
      <protection/>
    </xf>
    <xf numFmtId="0" fontId="14" fillId="27" borderId="28" xfId="0" applyFont="1" applyFill="1" applyBorder="1" applyAlignment="1" applyProtection="1">
      <alignment vertical="center"/>
      <protection/>
    </xf>
    <xf numFmtId="0" fontId="4" fillId="27" borderId="0" xfId="0" applyFont="1" applyFill="1" applyBorder="1" applyAlignment="1" applyProtection="1">
      <alignment vertical="center"/>
      <protection/>
    </xf>
    <xf numFmtId="0" fontId="14" fillId="27" borderId="0" xfId="0" applyFont="1" applyFill="1" applyBorder="1" applyAlignment="1" applyProtection="1">
      <alignment vertical="center"/>
      <protection/>
    </xf>
    <xf numFmtId="189" fontId="14" fillId="27" borderId="22" xfId="0" applyNumberFormat="1" applyFont="1" applyFill="1" applyBorder="1" applyAlignment="1" applyProtection="1">
      <alignment horizontal="center" vertical="center"/>
      <protection/>
    </xf>
    <xf numFmtId="0" fontId="14" fillId="27" borderId="28" xfId="0" applyFont="1" applyFill="1" applyBorder="1" applyAlignment="1" applyProtection="1">
      <alignment horizontal="left" vertical="center"/>
      <protection/>
    </xf>
    <xf numFmtId="189" fontId="14" fillId="29" borderId="10" xfId="0" applyNumberFormat="1" applyFont="1" applyFill="1" applyBorder="1" applyAlignment="1" applyProtection="1">
      <alignment horizontal="center" vertical="center"/>
      <protection locked="0"/>
    </xf>
    <xf numFmtId="184" fontId="39" fillId="27" borderId="14" xfId="0" applyNumberFormat="1" applyFont="1" applyFill="1" applyBorder="1" applyAlignment="1" applyProtection="1">
      <alignment horizontal="center" vertical="center"/>
      <protection/>
    </xf>
    <xf numFmtId="0" fontId="39" fillId="28" borderId="28"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14" fillId="28" borderId="0" xfId="0" applyFont="1" applyFill="1" applyBorder="1" applyAlignment="1" applyProtection="1">
      <alignment vertical="center"/>
      <protection/>
    </xf>
    <xf numFmtId="189" fontId="39" fillId="28" borderId="14" xfId="0" applyNumberFormat="1" applyFont="1" applyFill="1" applyBorder="1" applyAlignment="1" applyProtection="1">
      <alignment horizontal="center" vertical="center"/>
      <protection/>
    </xf>
    <xf numFmtId="37" fontId="14" fillId="4" borderId="13" xfId="0" applyNumberFormat="1" applyFont="1" applyFill="1" applyBorder="1" applyAlignment="1" applyProtection="1">
      <alignment horizontal="left" vertical="center"/>
      <protection/>
    </xf>
    <xf numFmtId="0" fontId="45" fillId="27" borderId="17" xfId="0" applyFont="1" applyFill="1" applyBorder="1" applyAlignment="1">
      <alignment horizontal="left" vertical="center"/>
    </xf>
    <xf numFmtId="189" fontId="39" fillId="28" borderId="19"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37" fontId="4" fillId="4" borderId="22" xfId="0" applyNumberFormat="1" applyFont="1" applyFill="1" applyBorder="1" applyAlignment="1" applyProtection="1">
      <alignment horizontal="right" vertical="center"/>
      <protection/>
    </xf>
    <xf numFmtId="189" fontId="14" fillId="27" borderId="28" xfId="0" applyNumberFormat="1" applyFont="1" applyFill="1" applyBorder="1" applyAlignment="1" applyProtection="1">
      <alignment horizontal="center" vertical="center"/>
      <protection/>
    </xf>
    <xf numFmtId="0" fontId="14" fillId="27" borderId="0" xfId="0" applyFont="1" applyFill="1" applyBorder="1" applyAlignment="1" applyProtection="1">
      <alignment horizontal="left" vertical="center"/>
      <protection/>
    </xf>
    <xf numFmtId="0" fontId="14" fillId="27" borderId="22" xfId="0" applyFont="1" applyFill="1" applyBorder="1" applyAlignment="1" applyProtection="1">
      <alignment vertical="center"/>
      <protection/>
    </xf>
    <xf numFmtId="189" fontId="14" fillId="27" borderId="13" xfId="0" applyNumberFormat="1" applyFont="1" applyFill="1" applyBorder="1" applyAlignment="1" applyProtection="1">
      <alignment horizontal="center" vertical="center"/>
      <protection/>
    </xf>
    <xf numFmtId="189" fontId="14" fillId="27" borderId="28" xfId="0" applyNumberFormat="1" applyFont="1" applyFill="1" applyBorder="1" applyAlignment="1" applyProtection="1">
      <alignment vertical="center"/>
      <protection/>
    </xf>
    <xf numFmtId="189" fontId="14" fillId="28" borderId="13" xfId="0" applyNumberFormat="1" applyFont="1" applyFill="1" applyBorder="1" applyAlignment="1" applyProtection="1">
      <alignment horizontal="center" vertical="center"/>
      <protection/>
    </xf>
    <xf numFmtId="0" fontId="14" fillId="28" borderId="17" xfId="0" applyFont="1" applyFill="1" applyBorder="1" applyAlignment="1" applyProtection="1">
      <alignment vertical="center"/>
      <protection/>
    </xf>
    <xf numFmtId="0" fontId="14" fillId="28" borderId="19" xfId="0" applyFont="1" applyFill="1" applyBorder="1" applyAlignment="1" applyProtection="1">
      <alignment vertical="center"/>
      <protection/>
    </xf>
    <xf numFmtId="37" fontId="4" fillId="28" borderId="19" xfId="0" applyNumberFormat="1" applyFont="1" applyFill="1" applyBorder="1" applyAlignment="1" applyProtection="1">
      <alignment horizontal="right" vertical="center"/>
      <protection/>
    </xf>
    <xf numFmtId="184" fontId="14" fillId="27" borderId="28" xfId="0" applyNumberFormat="1" applyFont="1" applyFill="1" applyBorder="1" applyAlignment="1" applyProtection="1">
      <alignment horizontal="center" vertical="center"/>
      <protection/>
    </xf>
    <xf numFmtId="0" fontId="37" fillId="27" borderId="0" xfId="0" applyFont="1" applyFill="1" applyBorder="1" applyAlignment="1" applyProtection="1">
      <alignment horizontal="center" vertical="center"/>
      <protection/>
    </xf>
    <xf numFmtId="0" fontId="0" fillId="27" borderId="22" xfId="0" applyFill="1" applyBorder="1" applyAlignment="1" applyProtection="1">
      <alignment vertical="center"/>
      <protection/>
    </xf>
    <xf numFmtId="184" fontId="14" fillId="28" borderId="13" xfId="0" applyNumberFormat="1" applyFont="1" applyFill="1" applyBorder="1" applyAlignment="1" applyProtection="1">
      <alignment horizontal="center" vertical="center"/>
      <protection/>
    </xf>
    <xf numFmtId="184" fontId="14" fillId="27" borderId="11" xfId="0" applyNumberFormat="1" applyFont="1" applyFill="1" applyBorder="1" applyAlignment="1" applyProtection="1">
      <alignment horizontal="center" vertical="center"/>
      <protection/>
    </xf>
    <xf numFmtId="184" fontId="14" fillId="28" borderId="11" xfId="0" applyNumberFormat="1" applyFont="1" applyFill="1" applyBorder="1" applyAlignment="1" applyProtection="1">
      <alignment horizontal="center" vertical="center"/>
      <protection/>
    </xf>
    <xf numFmtId="0" fontId="14" fillId="27" borderId="17" xfId="0" applyFont="1" applyFill="1" applyBorder="1" applyAlignment="1" applyProtection="1">
      <alignment horizontal="left" vertical="center"/>
      <protection/>
    </xf>
    <xf numFmtId="0" fontId="37" fillId="27" borderId="17" xfId="0" applyFont="1" applyFill="1" applyBorder="1" applyAlignment="1" applyProtection="1">
      <alignment horizontal="center" vertical="center"/>
      <protection/>
    </xf>
    <xf numFmtId="0" fontId="0" fillId="27" borderId="19" xfId="0" applyFill="1" applyBorder="1" applyAlignment="1" applyProtection="1">
      <alignment vertical="center"/>
      <protection/>
    </xf>
    <xf numFmtId="0" fontId="4" fillId="27" borderId="28" xfId="0" applyFont="1" applyFill="1" applyBorder="1" applyAlignment="1" applyProtection="1">
      <alignment vertical="center"/>
      <protection/>
    </xf>
    <xf numFmtId="0" fontId="4" fillId="27" borderId="22" xfId="0" applyFont="1" applyFill="1" applyBorder="1" applyAlignment="1" applyProtection="1">
      <alignment/>
      <protection locked="0"/>
    </xf>
    <xf numFmtId="189" fontId="16" fillId="27" borderId="28" xfId="0" applyNumberFormat="1" applyFont="1" applyFill="1" applyBorder="1" applyAlignment="1" applyProtection="1">
      <alignment horizontal="center" vertical="center"/>
      <protection/>
    </xf>
    <xf numFmtId="0" fontId="4" fillId="27" borderId="22" xfId="0" applyFont="1" applyFill="1" applyBorder="1" applyAlignment="1" applyProtection="1">
      <alignment vertical="center"/>
      <protection/>
    </xf>
    <xf numFmtId="189" fontId="16" fillId="27" borderId="28" xfId="0" applyNumberFormat="1" applyFont="1" applyFill="1" applyBorder="1" applyAlignment="1" applyProtection="1">
      <alignment vertical="center"/>
      <protection/>
    </xf>
    <xf numFmtId="0" fontId="16" fillId="27" borderId="0" xfId="0" applyFont="1" applyFill="1" applyBorder="1" applyAlignment="1" applyProtection="1">
      <alignment vertical="center"/>
      <protection/>
    </xf>
    <xf numFmtId="189" fontId="16" fillId="27" borderId="13" xfId="0" applyNumberFormat="1" applyFont="1" applyFill="1" applyBorder="1" applyAlignment="1" applyProtection="1">
      <alignment horizontal="center" vertical="center"/>
      <protection/>
    </xf>
    <xf numFmtId="189" fontId="16" fillId="28" borderId="13" xfId="0" applyNumberFormat="1" applyFont="1" applyFill="1" applyBorder="1" applyAlignment="1" applyProtection="1">
      <alignment horizontal="center" vertical="center"/>
      <protection/>
    </xf>
    <xf numFmtId="0" fontId="4" fillId="28" borderId="19" xfId="0" applyFont="1" applyFill="1" applyBorder="1" applyAlignment="1" applyProtection="1">
      <alignment vertical="center"/>
      <protection/>
    </xf>
    <xf numFmtId="0" fontId="4" fillId="28" borderId="19" xfId="0" applyFont="1" applyFill="1" applyBorder="1" applyAlignment="1" applyProtection="1">
      <alignment/>
      <protection locked="0"/>
    </xf>
    <xf numFmtId="0" fontId="4" fillId="27" borderId="22" xfId="0" applyFont="1" applyFill="1" applyBorder="1" applyAlignment="1" applyProtection="1">
      <alignment vertical="center"/>
      <protection locked="0"/>
    </xf>
    <xf numFmtId="0" fontId="14" fillId="0" borderId="0" xfId="102" applyFont="1" applyFill="1" applyBorder="1" applyAlignment="1" applyProtection="1">
      <alignment vertical="center"/>
      <protection/>
    </xf>
    <xf numFmtId="0" fontId="39" fillId="0" borderId="0" xfId="102" applyFont="1" applyFill="1" applyBorder="1" applyAlignment="1" applyProtection="1">
      <alignment vertical="center"/>
      <protection/>
    </xf>
    <xf numFmtId="189" fontId="39" fillId="0" borderId="0" xfId="102" applyNumberFormat="1" applyFont="1" applyFill="1" applyBorder="1" applyAlignment="1" applyProtection="1">
      <alignment horizontal="center" vertical="center"/>
      <protection/>
    </xf>
    <xf numFmtId="0" fontId="4" fillId="0" borderId="0" xfId="549" applyFont="1" applyAlignment="1">
      <alignment horizontal="left" vertical="center"/>
      <protection/>
    </xf>
    <xf numFmtId="0" fontId="86" fillId="0" borderId="0" xfId="0" applyFont="1" applyAlignment="1">
      <alignment/>
    </xf>
    <xf numFmtId="1" fontId="87" fillId="0" borderId="0" xfId="549" applyNumberFormat="1" applyFont="1" applyAlignment="1">
      <alignment horizontal="left" vertical="center"/>
      <protection/>
    </xf>
    <xf numFmtId="0" fontId="88" fillId="0" borderId="0" xfId="549" applyFont="1" applyAlignment="1">
      <alignment horizontal="left" vertical="center"/>
      <protection/>
    </xf>
    <xf numFmtId="0" fontId="89" fillId="0" borderId="0" xfId="549" applyFont="1">
      <alignment/>
      <protection/>
    </xf>
    <xf numFmtId="0" fontId="87" fillId="0" borderId="0" xfId="549" applyNumberFormat="1" applyFont="1" applyAlignment="1">
      <alignment horizontal="left" vertical="center"/>
      <protection/>
    </xf>
    <xf numFmtId="185" fontId="87" fillId="0" borderId="0" xfId="549" applyNumberFormat="1" applyFont="1" applyAlignment="1">
      <alignment horizontal="left" vertical="center"/>
      <protection/>
    </xf>
    <xf numFmtId="0" fontId="90" fillId="0" borderId="0" xfId="0" applyFont="1" applyAlignment="1" applyProtection="1">
      <alignment/>
      <protection locked="0"/>
    </xf>
    <xf numFmtId="192" fontId="4" fillId="22" borderId="10" xfId="0" applyNumberFormat="1" applyFont="1" applyFill="1" applyBorder="1" applyAlignment="1" applyProtection="1">
      <alignment vertical="center"/>
      <protection locked="0"/>
    </xf>
    <xf numFmtId="192" fontId="4" fillId="4" borderId="0" xfId="0" applyNumberFormat="1" applyFont="1" applyFill="1" applyAlignment="1">
      <alignment horizontal="center" vertical="center"/>
    </xf>
    <xf numFmtId="0" fontId="4" fillId="0" borderId="0" xfId="573" applyFont="1" applyAlignment="1">
      <alignment vertical="center" wrapText="1"/>
      <protection/>
    </xf>
    <xf numFmtId="0" fontId="4" fillId="0" borderId="0" xfId="91" applyFont="1" applyAlignment="1">
      <alignment vertical="center" wrapText="1"/>
      <protection/>
    </xf>
    <xf numFmtId="10" fontId="4" fillId="22" borderId="10" xfId="0" applyNumberFormat="1" applyFont="1" applyFill="1" applyBorder="1" applyAlignment="1" applyProtection="1">
      <alignment vertical="center"/>
      <protection locked="0"/>
    </xf>
    <xf numFmtId="37" fontId="4" fillId="4" borderId="20" xfId="0" applyNumberFormat="1" applyFont="1" applyFill="1" applyBorder="1" applyAlignment="1" applyProtection="1">
      <alignment horizontal="left" vertical="center"/>
      <protection/>
    </xf>
    <xf numFmtId="189" fontId="14" fillId="28" borderId="13" xfId="102" applyNumberFormat="1" applyFont="1" applyFill="1" applyBorder="1" applyAlignment="1" applyProtection="1">
      <alignment horizontal="center" vertical="center"/>
      <protection/>
    </xf>
    <xf numFmtId="0" fontId="4" fillId="28" borderId="19" xfId="0" applyFont="1" applyFill="1" applyBorder="1" applyAlignment="1" applyProtection="1">
      <alignment vertical="center"/>
      <protection locked="0"/>
    </xf>
    <xf numFmtId="3" fontId="4" fillId="9" borderId="23" xfId="0" applyNumberFormat="1" applyFont="1" applyFill="1" applyBorder="1" applyAlignment="1" applyProtection="1">
      <alignment vertical="center"/>
      <protection/>
    </xf>
    <xf numFmtId="0" fontId="4" fillId="0" borderId="0" xfId="150" applyFont="1" applyAlignment="1">
      <alignment vertical="center" wrapText="1"/>
      <protection/>
    </xf>
    <xf numFmtId="0" fontId="4" fillId="0" borderId="0" xfId="164" applyFont="1" applyAlignment="1">
      <alignment vertical="center"/>
      <protection/>
    </xf>
    <xf numFmtId="0" fontId="4" fillId="0" borderId="0" xfId="0" applyNumberFormat="1" applyFont="1" applyAlignment="1">
      <alignment vertical="center" wrapText="1"/>
    </xf>
    <xf numFmtId="0" fontId="4" fillId="0" borderId="0" xfId="0" applyFont="1" applyAlignment="1">
      <alignment wrapText="1"/>
    </xf>
    <xf numFmtId="0" fontId="4" fillId="22" borderId="11" xfId="0" applyFont="1" applyFill="1" applyBorder="1" applyAlignment="1" applyProtection="1">
      <alignment vertical="center"/>
      <protection locked="0"/>
    </xf>
    <xf numFmtId="37" fontId="4" fillId="22" borderId="14" xfId="0" applyNumberFormat="1" applyFont="1" applyFill="1" applyBorder="1" applyAlignment="1" applyProtection="1">
      <alignment horizontal="left" vertical="center"/>
      <protection locked="0"/>
    </xf>
    <xf numFmtId="3" fontId="4" fillId="4" borderId="16" xfId="0" applyNumberFormat="1" applyFont="1" applyFill="1" applyBorder="1" applyAlignment="1" applyProtection="1">
      <alignment vertical="center"/>
      <protection/>
    </xf>
    <xf numFmtId="3" fontId="20" fillId="4" borderId="24" xfId="0" applyNumberFormat="1" applyFont="1" applyFill="1" applyBorder="1" applyAlignment="1" applyProtection="1">
      <alignment horizontal="center" vertical="center"/>
      <protection/>
    </xf>
    <xf numFmtId="0" fontId="20" fillId="4" borderId="24" xfId="0" applyFont="1" applyFill="1" applyBorder="1" applyAlignment="1" applyProtection="1">
      <alignment horizontal="center" vertical="center"/>
      <protection/>
    </xf>
    <xf numFmtId="3" fontId="4" fillId="4" borderId="10" xfId="0" applyNumberFormat="1" applyFont="1" applyFill="1" applyBorder="1" applyAlignment="1" applyProtection="1">
      <alignment horizontal="right"/>
      <protection/>
    </xf>
    <xf numFmtId="0" fontId="4" fillId="4" borderId="0" xfId="0" applyFont="1" applyFill="1" applyAlignment="1" applyProtection="1">
      <alignment horizontal="left"/>
      <protection/>
    </xf>
    <xf numFmtId="3" fontId="4" fillId="4" borderId="16" xfId="0" applyNumberFormat="1" applyFont="1" applyFill="1" applyBorder="1" applyAlignment="1" applyProtection="1">
      <alignment/>
      <protection/>
    </xf>
    <xf numFmtId="0" fontId="20" fillId="4" borderId="24" xfId="0" applyFont="1" applyFill="1" applyBorder="1" applyAlignment="1" applyProtection="1">
      <alignment horizontal="center"/>
      <protection/>
    </xf>
    <xf numFmtId="0" fontId="4" fillId="0" borderId="0" xfId="92" applyFont="1" applyAlignment="1">
      <alignment horizontal="left" vertical="center"/>
      <protection/>
    </xf>
    <xf numFmtId="49" fontId="4" fillId="22" borderId="10" xfId="548" applyNumberFormat="1" applyFont="1" applyFill="1" applyBorder="1" applyAlignment="1" applyProtection="1">
      <alignment horizontal="left" vertical="center"/>
      <protection locked="0"/>
    </xf>
    <xf numFmtId="0" fontId="4" fillId="22" borderId="11" xfId="548" applyFont="1" applyFill="1" applyBorder="1" applyAlignment="1" applyProtection="1">
      <alignment horizontal="left" vertical="center"/>
      <protection locked="0"/>
    </xf>
    <xf numFmtId="0" fontId="4" fillId="22" borderId="18" xfId="548" applyFont="1" applyFill="1" applyBorder="1" applyAlignment="1" applyProtection="1">
      <alignment horizontal="left" vertical="center"/>
      <protection locked="0"/>
    </xf>
    <xf numFmtId="0" fontId="11" fillId="22" borderId="14" xfId="548" applyFill="1" applyBorder="1" applyAlignment="1" applyProtection="1">
      <alignment horizontal="left" vertical="center"/>
      <protection locked="0"/>
    </xf>
    <xf numFmtId="0" fontId="4" fillId="4" borderId="24" xfId="0" applyFont="1" applyFill="1" applyBorder="1" applyAlignment="1" applyProtection="1">
      <alignment vertical="center"/>
      <protection/>
    </xf>
    <xf numFmtId="3" fontId="4" fillId="4" borderId="17" xfId="0" applyNumberFormat="1" applyFont="1" applyFill="1" applyBorder="1" applyAlignment="1">
      <alignment vertical="center"/>
    </xf>
    <xf numFmtId="3" fontId="4" fillId="4" borderId="0" xfId="0" applyNumberFormat="1" applyFont="1" applyFill="1" applyBorder="1" applyAlignment="1">
      <alignment vertical="center"/>
    </xf>
    <xf numFmtId="0" fontId="4" fillId="4" borderId="0" xfId="0" applyFont="1" applyFill="1" applyAlignment="1" quotePrefix="1">
      <alignment vertical="center"/>
    </xf>
    <xf numFmtId="0" fontId="4" fillId="4" borderId="0" xfId="0" applyFont="1" applyFill="1" applyBorder="1" applyAlignment="1">
      <alignment vertical="center"/>
    </xf>
    <xf numFmtId="0" fontId="4" fillId="4" borderId="0" xfId="0" applyFont="1" applyFill="1" applyBorder="1" applyAlignment="1" quotePrefix="1">
      <alignment vertical="center"/>
    </xf>
    <xf numFmtId="3" fontId="4" fillId="4" borderId="25" xfId="0" applyNumberFormat="1" applyFont="1" applyFill="1" applyBorder="1" applyAlignment="1">
      <alignment vertical="center"/>
    </xf>
    <xf numFmtId="0" fontId="7" fillId="4" borderId="0" xfId="92" applyFont="1" applyFill="1" applyAlignment="1" applyProtection="1">
      <alignment horizontal="center" vertical="center"/>
      <protection/>
    </xf>
    <xf numFmtId="3" fontId="4" fillId="4" borderId="0" xfId="92" applyNumberFormat="1" applyFont="1" applyFill="1" applyAlignment="1" applyProtection="1">
      <alignment vertical="center"/>
      <protection/>
    </xf>
    <xf numFmtId="3" fontId="4" fillId="4" borderId="17" xfId="92" applyNumberFormat="1" applyFont="1" applyFill="1" applyBorder="1" applyAlignment="1" applyProtection="1">
      <alignment vertical="center"/>
      <protection/>
    </xf>
    <xf numFmtId="3" fontId="4" fillId="4" borderId="0" xfId="92" applyNumberFormat="1" applyFont="1" applyFill="1" applyBorder="1" applyAlignment="1" applyProtection="1">
      <alignment vertical="center"/>
      <protection/>
    </xf>
    <xf numFmtId="0" fontId="4" fillId="4" borderId="0" xfId="92" applyFont="1" applyFill="1" applyAlignment="1" applyProtection="1">
      <alignment horizontal="left" vertical="center"/>
      <protection/>
    </xf>
    <xf numFmtId="0" fontId="4" fillId="27" borderId="0" xfId="92" applyFont="1" applyFill="1" applyAlignment="1" applyProtection="1">
      <alignment vertical="center"/>
      <protection/>
    </xf>
    <xf numFmtId="0" fontId="4" fillId="4" borderId="0" xfId="92" applyFont="1" applyFill="1" applyAlignment="1" applyProtection="1" quotePrefix="1">
      <alignment vertical="center"/>
      <protection/>
    </xf>
    <xf numFmtId="3" fontId="4" fillId="4" borderId="25" xfId="92" applyNumberFormat="1" applyFont="1" applyFill="1" applyBorder="1" applyAlignment="1" applyProtection="1">
      <alignment vertical="center"/>
      <protection/>
    </xf>
    <xf numFmtId="0" fontId="4" fillId="4" borderId="0" xfId="92" applyFont="1" applyFill="1" applyAlignment="1" applyProtection="1" quotePrefix="1">
      <alignment horizontal="left" vertical="center"/>
      <protection/>
    </xf>
    <xf numFmtId="10" fontId="4" fillId="4" borderId="0" xfId="92" applyNumberFormat="1" applyFont="1" applyFill="1" applyBorder="1" applyAlignment="1" applyProtection="1">
      <alignment vertical="center"/>
      <protection/>
    </xf>
    <xf numFmtId="0" fontId="7" fillId="4" borderId="0" xfId="92" applyFont="1" applyFill="1" applyAlignment="1" applyProtection="1">
      <alignment horizontal="left" vertical="center"/>
      <protection/>
    </xf>
    <xf numFmtId="0" fontId="74" fillId="31" borderId="0" xfId="452" applyFill="1" applyBorder="1">
      <alignment/>
      <protection/>
    </xf>
    <xf numFmtId="0" fontId="74" fillId="31" borderId="0" xfId="452" applyFill="1" applyBorder="1" applyAlignment="1">
      <alignment horizontal="left" vertical="center"/>
      <protection/>
    </xf>
    <xf numFmtId="0" fontId="74" fillId="31" borderId="0" xfId="452" applyFill="1" applyBorder="1" applyAlignment="1">
      <alignment horizontal="center" vertical="center"/>
      <protection/>
    </xf>
    <xf numFmtId="0" fontId="46" fillId="0" borderId="0" xfId="0" applyFont="1" applyAlignment="1">
      <alignment/>
    </xf>
    <xf numFmtId="0" fontId="74" fillId="31" borderId="0" xfId="452" applyFill="1">
      <alignment/>
      <protection/>
    </xf>
    <xf numFmtId="0" fontId="82" fillId="31" borderId="0" xfId="452" applyFont="1" applyFill="1" applyBorder="1">
      <alignment/>
      <protection/>
    </xf>
    <xf numFmtId="0" fontId="82" fillId="31" borderId="31" xfId="452" applyFont="1" applyFill="1" applyBorder="1">
      <alignment/>
      <protection/>
    </xf>
    <xf numFmtId="0" fontId="82" fillId="31" borderId="30" xfId="452" applyFont="1" applyFill="1" applyBorder="1">
      <alignment/>
      <protection/>
    </xf>
    <xf numFmtId="0" fontId="82" fillId="31" borderId="35" xfId="452" applyFont="1" applyFill="1" applyBorder="1">
      <alignment/>
      <protection/>
    </xf>
    <xf numFmtId="0" fontId="82" fillId="31" borderId="36" xfId="452" applyFont="1" applyFill="1" applyBorder="1">
      <alignment/>
      <protection/>
    </xf>
    <xf numFmtId="0" fontId="82" fillId="31" borderId="0" xfId="452" applyFont="1" applyFill="1" applyBorder="1" applyAlignment="1">
      <alignment horizontal="center"/>
      <protection/>
    </xf>
    <xf numFmtId="0" fontId="82" fillId="31" borderId="0" xfId="452" applyFont="1" applyFill="1" applyBorder="1" applyAlignment="1">
      <alignment horizontal="right"/>
      <protection/>
    </xf>
    <xf numFmtId="0" fontId="82" fillId="31" borderId="37" xfId="452" applyFont="1" applyFill="1" applyBorder="1">
      <alignment/>
      <protection/>
    </xf>
    <xf numFmtId="3" fontId="82" fillId="31" borderId="17" xfId="452" applyNumberFormat="1" applyFont="1" applyFill="1" applyBorder="1">
      <alignment/>
      <protection/>
    </xf>
    <xf numFmtId="3" fontId="82" fillId="31" borderId="18" xfId="452" applyNumberFormat="1" applyFont="1" applyFill="1" applyBorder="1">
      <alignment/>
      <protection/>
    </xf>
    <xf numFmtId="0" fontId="82" fillId="31" borderId="17" xfId="452" applyFont="1" applyFill="1" applyBorder="1" applyAlignment="1" applyProtection="1">
      <alignment horizontal="center"/>
      <protection locked="0"/>
    </xf>
    <xf numFmtId="0" fontId="82" fillId="31" borderId="41" xfId="452" applyFont="1" applyFill="1" applyBorder="1" applyAlignment="1" applyProtection="1">
      <alignment horizontal="center"/>
      <protection locked="0"/>
    </xf>
    <xf numFmtId="37" fontId="4" fillId="4" borderId="24" xfId="0" applyNumberFormat="1" applyFont="1" applyFill="1" applyBorder="1" applyAlignment="1" applyProtection="1">
      <alignment horizontal="fill" vertical="center"/>
      <protection locked="0"/>
    </xf>
    <xf numFmtId="37" fontId="4" fillId="4" borderId="24" xfId="0" applyNumberFormat="1" applyFont="1" applyFill="1" applyBorder="1" applyAlignment="1" applyProtection="1">
      <alignment horizontal="left" vertical="center"/>
      <protection/>
    </xf>
    <xf numFmtId="190" fontId="41" fillId="27" borderId="0" xfId="0" applyNumberFormat="1" applyFont="1" applyFill="1" applyBorder="1" applyAlignment="1">
      <alignment horizontal="center"/>
    </xf>
    <xf numFmtId="0" fontId="4" fillId="0" borderId="0" xfId="92" applyFont="1" applyAlignment="1">
      <alignment vertical="center"/>
      <protection/>
    </xf>
    <xf numFmtId="0" fontId="4" fillId="24" borderId="20" xfId="0" applyFont="1" applyFill="1" applyBorder="1" applyAlignment="1" applyProtection="1">
      <alignment horizontal="center" vertical="center"/>
      <protection/>
    </xf>
    <xf numFmtId="0" fontId="5" fillId="25" borderId="21" xfId="0" applyFont="1" applyFill="1" applyBorder="1" applyAlignment="1" applyProtection="1">
      <alignment vertical="center"/>
      <protection/>
    </xf>
    <xf numFmtId="0" fontId="4" fillId="25" borderId="24" xfId="0" applyFont="1" applyFill="1" applyBorder="1" applyAlignment="1" applyProtection="1">
      <alignment vertical="center"/>
      <protection/>
    </xf>
    <xf numFmtId="0" fontId="4" fillId="25" borderId="15" xfId="0" applyFont="1" applyFill="1" applyBorder="1" applyAlignment="1" applyProtection="1">
      <alignment vertical="center"/>
      <protection/>
    </xf>
    <xf numFmtId="37" fontId="5" fillId="25" borderId="28" xfId="0" applyNumberFormat="1" applyFont="1" applyFill="1" applyBorder="1" applyAlignment="1" applyProtection="1">
      <alignment horizontal="left" vertical="center"/>
      <protection/>
    </xf>
    <xf numFmtId="0" fontId="4" fillId="25" borderId="0" xfId="0" applyFont="1" applyFill="1" applyBorder="1" applyAlignment="1" applyProtection="1">
      <alignment vertical="center"/>
      <protection/>
    </xf>
    <xf numFmtId="0" fontId="4" fillId="25" borderId="22" xfId="0" applyFont="1" applyFill="1" applyBorder="1" applyAlignment="1" applyProtection="1">
      <alignment vertical="center"/>
      <protection/>
    </xf>
    <xf numFmtId="37" fontId="5" fillId="25" borderId="13" xfId="0" applyNumberFormat="1" applyFont="1" applyFill="1" applyBorder="1" applyAlignment="1" applyProtection="1">
      <alignment horizontal="left" vertical="center"/>
      <protection/>
    </xf>
    <xf numFmtId="0" fontId="4" fillId="25" borderId="19" xfId="0" applyFont="1" applyFill="1" applyBorder="1" applyAlignment="1" applyProtection="1">
      <alignment vertical="center"/>
      <protection/>
    </xf>
    <xf numFmtId="37" fontId="5" fillId="25" borderId="21" xfId="0" applyNumberFormat="1" applyFont="1" applyFill="1" applyBorder="1" applyAlignment="1" applyProtection="1">
      <alignment horizontal="left" vertical="center"/>
      <protection/>
    </xf>
    <xf numFmtId="0" fontId="4" fillId="24" borderId="15" xfId="0" applyFont="1" applyFill="1" applyBorder="1" applyAlignment="1" applyProtection="1">
      <alignment vertical="center"/>
      <protection/>
    </xf>
    <xf numFmtId="37" fontId="4" fillId="24" borderId="11" xfId="0" applyNumberFormat="1" applyFont="1" applyFill="1" applyBorder="1" applyAlignment="1" applyProtection="1">
      <alignment horizontal="left" vertical="center"/>
      <protection/>
    </xf>
    <xf numFmtId="0" fontId="4" fillId="24" borderId="14" xfId="0" applyFont="1" applyFill="1" applyBorder="1" applyAlignment="1" applyProtection="1">
      <alignment vertical="center"/>
      <protection/>
    </xf>
    <xf numFmtId="37" fontId="15" fillId="25" borderId="21" xfId="0" applyNumberFormat="1" applyFont="1" applyFill="1" applyBorder="1" applyAlignment="1" applyProtection="1">
      <alignment horizontal="left" vertical="center"/>
      <protection/>
    </xf>
    <xf numFmtId="0" fontId="6" fillId="24" borderId="15" xfId="0" applyFont="1" applyFill="1" applyBorder="1" applyAlignment="1" applyProtection="1">
      <alignment vertical="center"/>
      <protection/>
    </xf>
    <xf numFmtId="0" fontId="4" fillId="25" borderId="28" xfId="0" applyFont="1" applyFill="1" applyBorder="1" applyAlignment="1" applyProtection="1">
      <alignment vertical="center"/>
      <protection/>
    </xf>
    <xf numFmtId="0" fontId="4" fillId="25" borderId="13" xfId="0" applyFont="1" applyFill="1" applyBorder="1" applyAlignment="1" applyProtection="1">
      <alignment vertical="center"/>
      <protection/>
    </xf>
    <xf numFmtId="0" fontId="4" fillId="25" borderId="11" xfId="0" applyFont="1" applyFill="1" applyBorder="1" applyAlignment="1" applyProtection="1">
      <alignment vertical="center"/>
      <protection/>
    </xf>
    <xf numFmtId="0" fontId="4" fillId="25" borderId="14" xfId="0" applyFont="1" applyFill="1" applyBorder="1" applyAlignment="1" applyProtection="1">
      <alignment vertical="center"/>
      <protection/>
    </xf>
    <xf numFmtId="37" fontId="5" fillId="25" borderId="11" xfId="0" applyNumberFormat="1" applyFont="1" applyFill="1" applyBorder="1" applyAlignment="1" applyProtection="1">
      <alignment horizontal="left" vertical="center"/>
      <protection/>
    </xf>
    <xf numFmtId="0" fontId="4" fillId="22" borderId="0" xfId="0" applyFont="1" applyFill="1" applyAlignment="1" applyProtection="1">
      <alignment horizontal="center" vertical="center"/>
      <protection locked="0"/>
    </xf>
    <xf numFmtId="0" fontId="4" fillId="22" borderId="0" xfId="0" applyFont="1" applyFill="1" applyAlignment="1" applyProtection="1">
      <alignment horizontal="center"/>
      <protection locked="0"/>
    </xf>
    <xf numFmtId="190" fontId="41" fillId="27" borderId="0" xfId="0" applyNumberFormat="1" applyFont="1" applyFill="1" applyAlignment="1">
      <alignment horizontal="center"/>
    </xf>
    <xf numFmtId="190" fontId="41" fillId="27" borderId="17" xfId="0" applyNumberFormat="1" applyFont="1" applyFill="1" applyBorder="1" applyAlignment="1">
      <alignment horizontal="center"/>
    </xf>
    <xf numFmtId="190" fontId="41" fillId="27" borderId="0" xfId="0" applyNumberFormat="1" applyFont="1" applyFill="1" applyAlignment="1">
      <alignment/>
    </xf>
    <xf numFmtId="0" fontId="10" fillId="0" borderId="0" xfId="69" applyAlignment="1" applyProtection="1">
      <alignment/>
      <protection/>
    </xf>
    <xf numFmtId="37" fontId="5" fillId="4" borderId="0" xfId="92" applyNumberFormat="1" applyFont="1" applyFill="1" applyAlignment="1" applyProtection="1">
      <alignment horizontal="left" vertical="center"/>
      <protection/>
    </xf>
    <xf numFmtId="190" fontId="4" fillId="28" borderId="19" xfId="122" applyNumberFormat="1" applyFont="1" applyFill="1" applyBorder="1" applyAlignment="1" applyProtection="1">
      <alignment horizontal="center"/>
      <protection/>
    </xf>
    <xf numFmtId="0" fontId="4" fillId="27" borderId="0" xfId="92" applyFont="1" applyFill="1" applyAlignment="1" applyProtection="1">
      <alignment vertical="center"/>
      <protection/>
    </xf>
    <xf numFmtId="0" fontId="4" fillId="27" borderId="0" xfId="92" applyFont="1" applyFill="1" applyAlignment="1" applyProtection="1">
      <alignment vertical="center"/>
      <protection/>
    </xf>
    <xf numFmtId="0" fontId="4" fillId="27" borderId="0" xfId="0" applyFont="1" applyFill="1" applyAlignment="1" applyProtection="1">
      <alignment vertical="center"/>
      <protection/>
    </xf>
    <xf numFmtId="0" fontId="4" fillId="27" borderId="0" xfId="0" applyFont="1" applyFill="1" applyAlignment="1" applyProtection="1">
      <alignment horizontal="center" vertical="center"/>
      <protection/>
    </xf>
    <xf numFmtId="0" fontId="4" fillId="27" borderId="0" xfId="0" applyFont="1" applyFill="1" applyAlignment="1">
      <alignment horizontal="center" vertical="center"/>
    </xf>
    <xf numFmtId="37" fontId="4" fillId="27" borderId="0" xfId="0" applyNumberFormat="1" applyFont="1" applyFill="1" applyAlignment="1" applyProtection="1">
      <alignment horizontal="left" vertical="center"/>
      <protection/>
    </xf>
    <xf numFmtId="165" fontId="4" fillId="27" borderId="17" xfId="0" applyNumberFormat="1" applyFont="1" applyFill="1" applyBorder="1" applyAlignment="1" applyProtection="1">
      <alignment horizontal="center" vertical="center"/>
      <protection/>
    </xf>
    <xf numFmtId="165" fontId="4" fillId="27" borderId="0" xfId="0" applyNumberFormat="1" applyFont="1" applyFill="1" applyBorder="1" applyAlignment="1" applyProtection="1">
      <alignment horizontal="center" vertical="center"/>
      <protection/>
    </xf>
    <xf numFmtId="0" fontId="0" fillId="27" borderId="0" xfId="0" applyFill="1" applyAlignment="1">
      <alignment vertical="center"/>
    </xf>
    <xf numFmtId="0" fontId="0" fillId="27" borderId="0" xfId="0" applyFill="1" applyAlignment="1">
      <alignment horizontal="center" vertical="center"/>
    </xf>
    <xf numFmtId="3" fontId="4" fillId="22" borderId="10" xfId="92" applyNumberFormat="1" applyFont="1" applyFill="1" applyBorder="1" applyAlignment="1" applyProtection="1">
      <alignment vertical="center"/>
      <protection locked="0"/>
    </xf>
    <xf numFmtId="0" fontId="4" fillId="22" borderId="10" xfId="92" applyFont="1" applyFill="1" applyBorder="1" applyAlignment="1" applyProtection="1">
      <alignment vertical="center"/>
      <protection locked="0"/>
    </xf>
    <xf numFmtId="0" fontId="4" fillId="22" borderId="10" xfId="92" applyFont="1" applyFill="1" applyBorder="1" applyAlignment="1" applyProtection="1">
      <alignment vertical="center"/>
      <protection locked="0"/>
    </xf>
    <xf numFmtId="37" fontId="4" fillId="4" borderId="12" xfId="92" applyNumberFormat="1" applyFont="1" applyFill="1" applyBorder="1" applyAlignment="1" applyProtection="1">
      <alignment horizontal="center" vertical="center"/>
      <protection/>
    </xf>
    <xf numFmtId="37" fontId="4" fillId="4" borderId="0" xfId="92" applyNumberFormat="1" applyFont="1" applyFill="1" applyAlignment="1" applyProtection="1">
      <alignment horizontal="left" vertical="center"/>
      <protection/>
    </xf>
    <xf numFmtId="0" fontId="4" fillId="27" borderId="0" xfId="92" applyFont="1" applyFill="1" applyAlignment="1" applyProtection="1">
      <alignment vertical="center"/>
      <protection/>
    </xf>
    <xf numFmtId="0" fontId="4" fillId="27" borderId="0" xfId="92" applyFont="1" applyFill="1" applyAlignment="1" applyProtection="1">
      <alignment vertical="center"/>
      <protection/>
    </xf>
    <xf numFmtId="0" fontId="4" fillId="27" borderId="0" xfId="92" applyFont="1" applyFill="1" applyAlignment="1" applyProtection="1">
      <alignment vertical="center"/>
      <protection locked="0"/>
    </xf>
    <xf numFmtId="37" fontId="4" fillId="4" borderId="18" xfId="92" applyNumberFormat="1" applyFont="1" applyFill="1" applyBorder="1" applyAlignment="1" applyProtection="1">
      <alignment horizontal="left" vertical="center"/>
      <protection/>
    </xf>
    <xf numFmtId="0" fontId="4" fillId="28" borderId="11" xfId="0" applyFont="1" applyFill="1" applyBorder="1" applyAlignment="1" applyProtection="1">
      <alignment vertical="center"/>
      <protection/>
    </xf>
    <xf numFmtId="0" fontId="4" fillId="28" borderId="18" xfId="0" applyFont="1" applyFill="1" applyBorder="1" applyAlignment="1" applyProtection="1">
      <alignment vertical="center"/>
      <protection/>
    </xf>
    <xf numFmtId="37" fontId="4" fillId="28" borderId="18" xfId="0" applyNumberFormat="1" applyFont="1" applyFill="1" applyBorder="1" applyAlignment="1" applyProtection="1">
      <alignment horizontal="left" vertical="center"/>
      <protection/>
    </xf>
    <xf numFmtId="0" fontId="4" fillId="28" borderId="14" xfId="0" applyFont="1" applyFill="1" applyBorder="1" applyAlignment="1" applyProtection="1">
      <alignment vertical="center"/>
      <protection/>
    </xf>
    <xf numFmtId="3" fontId="4" fillId="27" borderId="12" xfId="0" applyNumberFormat="1" applyFont="1" applyFill="1" applyBorder="1" applyAlignment="1">
      <alignment vertical="center"/>
    </xf>
    <xf numFmtId="0" fontId="39" fillId="27" borderId="21" xfId="244" applyFont="1" applyFill="1" applyBorder="1" applyAlignment="1">
      <alignment horizontal="left" vertical="center"/>
      <protection/>
    </xf>
    <xf numFmtId="0" fontId="5" fillId="27" borderId="24" xfId="0" applyFont="1" applyFill="1" applyBorder="1" applyAlignment="1">
      <alignment horizontal="centerContinuous" vertical="center"/>
    </xf>
    <xf numFmtId="0" fontId="91" fillId="27" borderId="15" xfId="0" applyFont="1" applyFill="1" applyBorder="1" applyAlignment="1">
      <alignment horizontal="center" vertical="center"/>
    </xf>
    <xf numFmtId="0" fontId="4" fillId="27" borderId="24" xfId="0" applyFont="1" applyFill="1" applyBorder="1" applyAlignment="1">
      <alignment vertical="center"/>
    </xf>
    <xf numFmtId="0" fontId="14" fillId="27" borderId="28" xfId="0" applyFont="1" applyFill="1" applyBorder="1" applyAlignment="1">
      <alignment horizontal="left" vertical="center"/>
    </xf>
    <xf numFmtId="0" fontId="14" fillId="27" borderId="0" xfId="0" applyFont="1" applyFill="1" applyBorder="1" applyAlignment="1">
      <alignment vertical="center"/>
    </xf>
    <xf numFmtId="3" fontId="14" fillId="27" borderId="22" xfId="0" applyNumberFormat="1" applyFont="1" applyFill="1" applyBorder="1" applyAlignment="1">
      <alignment vertical="center"/>
    </xf>
    <xf numFmtId="0" fontId="14" fillId="27" borderId="13" xfId="0" applyFont="1" applyFill="1" applyBorder="1" applyAlignment="1">
      <alignment horizontal="left" vertical="center"/>
    </xf>
    <xf numFmtId="0" fontId="14" fillId="27" borderId="17" xfId="0" applyFont="1" applyFill="1" applyBorder="1" applyAlignment="1">
      <alignment vertical="center"/>
    </xf>
    <xf numFmtId="3" fontId="14" fillId="27" borderId="19" xfId="0" applyNumberFormat="1" applyFont="1" applyFill="1" applyBorder="1" applyAlignment="1">
      <alignment vertical="center"/>
    </xf>
    <xf numFmtId="0" fontId="4" fillId="27" borderId="24" xfId="0" applyFont="1" applyFill="1" applyBorder="1" applyAlignment="1" applyProtection="1">
      <alignment vertical="center"/>
      <protection locked="0"/>
    </xf>
    <xf numFmtId="0" fontId="14" fillId="27" borderId="28" xfId="0" applyFont="1" applyFill="1" applyBorder="1" applyAlignment="1" applyProtection="1">
      <alignment horizontal="left" vertical="center"/>
      <protection locked="0"/>
    </xf>
    <xf numFmtId="0" fontId="14" fillId="27" borderId="0" xfId="0" applyFont="1" applyFill="1" applyBorder="1" applyAlignment="1" applyProtection="1">
      <alignment vertical="center"/>
      <protection locked="0"/>
    </xf>
    <xf numFmtId="3" fontId="14" fillId="27" borderId="22" xfId="0" applyNumberFormat="1" applyFont="1" applyFill="1" applyBorder="1" applyAlignment="1" applyProtection="1">
      <alignment vertical="center"/>
      <protection locked="0"/>
    </xf>
    <xf numFmtId="0" fontId="14" fillId="27" borderId="13" xfId="0" applyFont="1" applyFill="1" applyBorder="1" applyAlignment="1" applyProtection="1">
      <alignment horizontal="left" vertical="center"/>
      <protection locked="0"/>
    </xf>
    <xf numFmtId="0" fontId="14" fillId="27" borderId="17" xfId="0" applyFont="1" applyFill="1" applyBorder="1" applyAlignment="1" applyProtection="1">
      <alignment vertical="center"/>
      <protection locked="0"/>
    </xf>
    <xf numFmtId="3" fontId="14" fillId="27" borderId="19" xfId="0" applyNumberFormat="1" applyFont="1" applyFill="1" applyBorder="1" applyAlignment="1" applyProtection="1">
      <alignment vertical="center"/>
      <protection locked="0"/>
    </xf>
    <xf numFmtId="0" fontId="14" fillId="27" borderId="28" xfId="0" applyFont="1" applyFill="1" applyBorder="1" applyAlignment="1" applyProtection="1">
      <alignment horizontal="left"/>
      <protection locked="0"/>
    </xf>
    <xf numFmtId="0" fontId="14" fillId="27" borderId="0" xfId="0" applyFont="1" applyFill="1" applyBorder="1" applyAlignment="1" applyProtection="1">
      <alignment/>
      <protection locked="0"/>
    </xf>
    <xf numFmtId="3" fontId="14" fillId="27" borderId="22" xfId="0" applyNumberFormat="1" applyFont="1" applyFill="1" applyBorder="1" applyAlignment="1" applyProtection="1">
      <alignment/>
      <protection locked="0"/>
    </xf>
    <xf numFmtId="0" fontId="14" fillId="27" borderId="13" xfId="0" applyFont="1" applyFill="1" applyBorder="1" applyAlignment="1" applyProtection="1">
      <alignment horizontal="left"/>
      <protection locked="0"/>
    </xf>
    <xf numFmtId="0" fontId="14" fillId="27" borderId="17" xfId="0" applyFont="1" applyFill="1" applyBorder="1" applyAlignment="1" applyProtection="1">
      <alignment/>
      <protection locked="0"/>
    </xf>
    <xf numFmtId="3" fontId="14" fillId="27" borderId="19" xfId="0" applyNumberFormat="1" applyFont="1" applyFill="1" applyBorder="1" applyAlignment="1" applyProtection="1">
      <alignment/>
      <protection locked="0"/>
    </xf>
    <xf numFmtId="0" fontId="49" fillId="0" borderId="0" xfId="0" applyFont="1" applyAlignment="1">
      <alignment horizontal="left"/>
    </xf>
    <xf numFmtId="0" fontId="92" fillId="31" borderId="30" xfId="452" applyFont="1" applyFill="1" applyBorder="1" applyAlignment="1">
      <alignment horizontal="center"/>
      <protection/>
    </xf>
    <xf numFmtId="0" fontId="4" fillId="0" borderId="0" xfId="92" applyFont="1">
      <alignment/>
      <protection/>
    </xf>
    <xf numFmtId="0" fontId="6" fillId="0" borderId="0" xfId="92" applyFont="1">
      <alignment/>
      <protection/>
    </xf>
    <xf numFmtId="0" fontId="74" fillId="31" borderId="0" xfId="452" applyFill="1">
      <alignment/>
      <protection/>
    </xf>
    <xf numFmtId="0" fontId="49" fillId="0" borderId="0" xfId="0" applyFont="1" applyAlignment="1">
      <alignment/>
    </xf>
    <xf numFmtId="0" fontId="47" fillId="0" borderId="0" xfId="0" applyFont="1" applyAlignment="1">
      <alignment/>
    </xf>
    <xf numFmtId="0" fontId="0" fillId="0" borderId="30" xfId="0" applyBorder="1" applyAlignment="1">
      <alignment/>
    </xf>
    <xf numFmtId="0" fontId="82" fillId="31" borderId="0" xfId="452" applyFont="1" applyFill="1" applyBorder="1">
      <alignment/>
      <protection/>
    </xf>
    <xf numFmtId="0" fontId="82" fillId="31" borderId="31" xfId="452" applyFont="1" applyFill="1" applyBorder="1">
      <alignment/>
      <protection/>
    </xf>
    <xf numFmtId="0" fontId="82" fillId="31" borderId="30" xfId="452" applyFont="1" applyFill="1" applyBorder="1">
      <alignment/>
      <protection/>
    </xf>
    <xf numFmtId="0" fontId="82" fillId="31" borderId="35" xfId="452" applyFont="1" applyFill="1" applyBorder="1">
      <alignment/>
      <protection/>
    </xf>
    <xf numFmtId="0" fontId="82" fillId="31" borderId="36" xfId="452" applyFont="1" applyFill="1" applyBorder="1">
      <alignment/>
      <protection/>
    </xf>
    <xf numFmtId="0" fontId="82" fillId="31" borderId="0" xfId="452" applyFont="1" applyFill="1" applyBorder="1" applyAlignment="1">
      <alignment horizontal="center"/>
      <protection/>
    </xf>
    <xf numFmtId="0" fontId="82" fillId="31" borderId="0" xfId="452" applyFont="1" applyFill="1" applyBorder="1" applyAlignment="1">
      <alignment horizontal="right"/>
      <protection/>
    </xf>
    <xf numFmtId="0" fontId="82" fillId="31" borderId="37" xfId="452" applyFont="1" applyFill="1" applyBorder="1">
      <alignment/>
      <protection/>
    </xf>
    <xf numFmtId="3" fontId="82" fillId="31" borderId="17" xfId="452" applyNumberFormat="1" applyFont="1" applyFill="1" applyBorder="1">
      <alignment/>
      <protection/>
    </xf>
    <xf numFmtId="3" fontId="82" fillId="31" borderId="18" xfId="452" applyNumberFormat="1" applyFont="1" applyFill="1" applyBorder="1">
      <alignment/>
      <protection/>
    </xf>
    <xf numFmtId="0" fontId="82" fillId="31" borderId="17" xfId="452" applyFont="1" applyFill="1" applyBorder="1" applyAlignment="1" applyProtection="1">
      <alignment horizontal="center"/>
      <protection locked="0"/>
    </xf>
    <xf numFmtId="0" fontId="82" fillId="31" borderId="41" xfId="452" applyFont="1" applyFill="1" applyBorder="1" applyAlignment="1" applyProtection="1">
      <alignment horizontal="center"/>
      <protection locked="0"/>
    </xf>
    <xf numFmtId="0" fontId="82" fillId="31" borderId="31" xfId="452" applyFont="1" applyFill="1" applyBorder="1" applyAlignment="1">
      <alignment horizontal="center"/>
      <protection/>
    </xf>
    <xf numFmtId="183" fontId="82" fillId="31" borderId="0" xfId="452" applyNumberFormat="1" applyFont="1" applyFill="1" applyBorder="1">
      <alignment/>
      <protection/>
    </xf>
    <xf numFmtId="0" fontId="82" fillId="31" borderId="0" xfId="452" applyFont="1" applyFill="1" applyBorder="1" applyAlignment="1" applyProtection="1">
      <alignment horizontal="center"/>
      <protection locked="0"/>
    </xf>
    <xf numFmtId="0" fontId="82" fillId="31" borderId="31" xfId="452" applyFont="1" applyFill="1" applyBorder="1" applyAlignment="1" applyProtection="1">
      <alignment horizontal="center"/>
      <protection locked="0"/>
    </xf>
    <xf numFmtId="3" fontId="82" fillId="31" borderId="0" xfId="452" applyNumberFormat="1" applyFont="1" applyFill="1" applyBorder="1">
      <alignment/>
      <protection/>
    </xf>
    <xf numFmtId="0" fontId="92" fillId="31" borderId="0" xfId="452" applyFont="1" applyFill="1" applyBorder="1" applyAlignment="1">
      <alignment horizontal="center"/>
      <protection/>
    </xf>
    <xf numFmtId="0" fontId="47" fillId="0" borderId="0" xfId="0" applyFont="1" applyAlignment="1">
      <alignment horizontal="left" vertical="center" wrapText="1"/>
    </xf>
    <xf numFmtId="0" fontId="48" fillId="0" borderId="0" xfId="0" applyFont="1" applyAlignment="1">
      <alignment horizontal="center" vertical="center" wrapText="1"/>
    </xf>
    <xf numFmtId="0" fontId="47" fillId="0" borderId="0" xfId="0" applyFont="1" applyAlignment="1">
      <alignment horizontal="right" vertical="center"/>
    </xf>
    <xf numFmtId="0" fontId="47" fillId="0" borderId="0" xfId="0" applyFont="1" applyAlignment="1">
      <alignment horizontal="left" vertical="center"/>
    </xf>
    <xf numFmtId="0" fontId="47" fillId="0" borderId="0" xfId="0" applyFont="1" applyAlignment="1">
      <alignment horizontal="center" vertical="center"/>
    </xf>
    <xf numFmtId="0" fontId="47" fillId="0" borderId="0" xfId="92" applyFont="1" applyAlignment="1">
      <alignment horizontal="right" vertical="center" wrapText="1"/>
      <protection/>
    </xf>
    <xf numFmtId="0" fontId="17" fillId="26" borderId="11" xfId="0" applyFont="1" applyFill="1" applyBorder="1" applyAlignment="1" applyProtection="1">
      <alignment horizontal="center" vertical="center"/>
      <protection/>
    </xf>
    <xf numFmtId="0" fontId="14" fillId="24" borderId="16" xfId="0" applyFont="1" applyFill="1" applyBorder="1" applyAlignment="1" applyProtection="1">
      <alignment horizontal="center" vertical="center"/>
      <protection/>
    </xf>
    <xf numFmtId="0" fontId="6" fillId="0" borderId="0" xfId="93" applyFont="1">
      <alignment/>
      <protection/>
    </xf>
    <xf numFmtId="37" fontId="4" fillId="4" borderId="0" xfId="0" applyNumberFormat="1" applyFont="1" applyFill="1" applyAlignment="1" applyProtection="1">
      <alignment horizontal="center" vertical="center" wrapText="1"/>
      <protection/>
    </xf>
    <xf numFmtId="0" fontId="0" fillId="4" borderId="0" xfId="0" applyFill="1" applyBorder="1" applyAlignment="1">
      <alignment horizontal="center" vertical="center" wrapText="1"/>
    </xf>
    <xf numFmtId="37" fontId="4" fillId="24" borderId="16" xfId="0" applyNumberFormat="1" applyFont="1" applyFill="1" applyBorder="1" applyAlignment="1" applyProtection="1">
      <alignment horizontal="center" vertical="center" wrapText="1"/>
      <protection/>
    </xf>
    <xf numFmtId="0" fontId="0" fillId="24" borderId="12" xfId="0" applyFill="1" applyBorder="1" applyAlignment="1">
      <alignment horizontal="center" vertical="center" wrapText="1"/>
    </xf>
    <xf numFmtId="37" fontId="15" fillId="4" borderId="0" xfId="0" applyNumberFormat="1" applyFont="1" applyFill="1" applyAlignment="1" applyProtection="1">
      <alignment horizontal="center" vertical="center"/>
      <protection/>
    </xf>
    <xf numFmtId="0" fontId="1" fillId="0" borderId="0" xfId="0" applyFont="1" applyAlignment="1">
      <alignment horizontal="center" vertical="center"/>
    </xf>
    <xf numFmtId="37" fontId="20" fillId="4" borderId="0" xfId="0" applyNumberFormat="1" applyFont="1" applyFill="1" applyAlignment="1" applyProtection="1">
      <alignment horizontal="center" vertical="center"/>
      <protection/>
    </xf>
    <xf numFmtId="0" fontId="24" fillId="0" borderId="0" xfId="0" applyFont="1" applyAlignment="1">
      <alignment horizontal="center" vertical="center"/>
    </xf>
    <xf numFmtId="37" fontId="5" fillId="4" borderId="0" xfId="92" applyNumberFormat="1" applyFont="1" applyFill="1" applyAlignment="1" applyProtection="1">
      <alignment vertical="center" wrapText="1"/>
      <protection/>
    </xf>
    <xf numFmtId="0" fontId="4" fillId="4" borderId="21" xfId="92" applyFont="1" applyFill="1" applyBorder="1" applyAlignment="1" applyProtection="1">
      <alignment vertical="center" wrapText="1"/>
      <protection/>
    </xf>
    <xf numFmtId="0" fontId="0" fillId="0" borderId="15" xfId="92" applyBorder="1" applyAlignment="1">
      <alignment vertical="center" wrapText="1"/>
      <protection/>
    </xf>
    <xf numFmtId="0" fontId="0" fillId="0" borderId="28" xfId="92" applyBorder="1" applyAlignment="1">
      <alignment vertical="center" wrapText="1"/>
      <protection/>
    </xf>
    <xf numFmtId="0" fontId="0" fillId="0" borderId="22" xfId="92" applyBorder="1" applyAlignment="1">
      <alignment vertical="center" wrapText="1"/>
      <protection/>
    </xf>
    <xf numFmtId="0" fontId="0" fillId="0" borderId="13" xfId="92" applyBorder="1" applyAlignment="1">
      <alignment vertical="center" wrapText="1"/>
      <protection/>
    </xf>
    <xf numFmtId="0" fontId="0" fillId="0" borderId="19" xfId="92" applyBorder="1" applyAlignment="1">
      <alignment vertical="center" wrapText="1"/>
      <protection/>
    </xf>
    <xf numFmtId="0" fontId="5" fillId="24" borderId="11" xfId="0" applyFont="1" applyFill="1" applyBorder="1" applyAlignment="1">
      <alignment horizontal="center" vertical="center"/>
    </xf>
    <xf numFmtId="0" fontId="1" fillId="24" borderId="14" xfId="0" applyFont="1" applyFill="1" applyBorder="1" applyAlignment="1">
      <alignment horizontal="center" vertical="center"/>
    </xf>
    <xf numFmtId="0" fontId="4" fillId="24" borderId="16"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12" xfId="0" applyBorder="1" applyAlignment="1">
      <alignment horizontal="center" vertical="center" wrapText="1"/>
    </xf>
    <xf numFmtId="0" fontId="17" fillId="4" borderId="0" xfId="0" applyFont="1" applyFill="1" applyBorder="1" applyAlignment="1">
      <alignment vertical="center"/>
    </xf>
    <xf numFmtId="0" fontId="19" fillId="0" borderId="0" xfId="0" applyFont="1" applyAlignment="1">
      <alignment vertical="center"/>
    </xf>
    <xf numFmtId="0" fontId="4" fillId="0" borderId="0" xfId="548" applyFont="1" applyAlignment="1">
      <alignment horizontal="left" vertical="center" wrapText="1"/>
      <protection/>
    </xf>
    <xf numFmtId="0" fontId="11" fillId="0" borderId="0" xfId="548" applyAlignment="1">
      <alignment horizontal="left" vertical="center" wrapText="1"/>
      <protection/>
    </xf>
    <xf numFmtId="0" fontId="15" fillId="0" borderId="0" xfId="548" applyFont="1" applyAlignment="1">
      <alignment horizontal="left" vertical="center"/>
      <protection/>
    </xf>
    <xf numFmtId="37" fontId="4" fillId="0" borderId="0" xfId="0" applyNumberFormat="1" applyFont="1" applyAlignment="1" applyProtection="1">
      <alignment horizontal="center" vertical="center"/>
      <protection locked="0"/>
    </xf>
    <xf numFmtId="37" fontId="5" fillId="4" borderId="0" xfId="0" applyNumberFormat="1" applyFont="1" applyFill="1" applyAlignment="1" applyProtection="1">
      <alignment horizontal="center" vertical="center"/>
      <protection/>
    </xf>
    <xf numFmtId="37" fontId="4" fillId="4" borderId="16" xfId="0" applyNumberFormat="1" applyFont="1" applyFill="1" applyBorder="1" applyAlignment="1" applyProtection="1">
      <alignment horizontal="center" vertical="center" wrapText="1"/>
      <protection/>
    </xf>
    <xf numFmtId="0" fontId="1" fillId="0" borderId="0" xfId="0" applyFont="1" applyAlignment="1">
      <alignment horizontal="center" vertical="center"/>
    </xf>
    <xf numFmtId="37" fontId="4"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14" fillId="24" borderId="16" xfId="0" applyFont="1" applyFill="1" applyBorder="1" applyAlignment="1" applyProtection="1">
      <alignment horizontal="center" vertical="center" wrapText="1"/>
      <protection/>
    </xf>
    <xf numFmtId="0" fontId="0" fillId="0" borderId="12" xfId="0" applyBorder="1" applyAlignment="1">
      <alignment vertical="center" wrapText="1"/>
    </xf>
    <xf numFmtId="37" fontId="4" fillId="4" borderId="21" xfId="0" applyNumberFormat="1" applyFont="1" applyFill="1" applyBorder="1" applyAlignment="1" applyProtection="1">
      <alignment horizontal="fill" vertical="center"/>
      <protection/>
    </xf>
    <xf numFmtId="0" fontId="0" fillId="0" borderId="15" xfId="0" applyBorder="1" applyAlignment="1">
      <alignment vertical="center"/>
    </xf>
    <xf numFmtId="0" fontId="0" fillId="0" borderId="0" xfId="0" applyAlignment="1">
      <alignment vertical="center"/>
    </xf>
    <xf numFmtId="0" fontId="5" fillId="4" borderId="0" xfId="0" applyFont="1" applyFill="1" applyAlignment="1" applyProtection="1">
      <alignment horizontal="center" vertical="center"/>
      <protection/>
    </xf>
    <xf numFmtId="0" fontId="4" fillId="4" borderId="0" xfId="92" applyFont="1" applyFill="1" applyAlignment="1" applyProtection="1">
      <alignment horizontal="center" vertical="center" wrapText="1"/>
      <protection/>
    </xf>
    <xf numFmtId="0" fontId="4" fillId="4" borderId="0" xfId="92" applyFont="1" applyFill="1" applyAlignment="1" applyProtection="1">
      <alignment horizontal="center" vertical="center"/>
      <protection/>
    </xf>
    <xf numFmtId="0" fontId="4" fillId="4" borderId="0" xfId="92" applyFont="1" applyFill="1" applyAlignment="1">
      <alignment horizontal="center" vertical="center"/>
      <protection/>
    </xf>
    <xf numFmtId="37" fontId="4" fillId="4" borderId="21" xfId="0" applyNumberFormat="1" applyFont="1" applyFill="1"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protection/>
    </xf>
    <xf numFmtId="37" fontId="4" fillId="4" borderId="18" xfId="0" applyNumberFormat="1" applyFont="1" applyFill="1" applyBorder="1" applyAlignment="1" applyProtection="1">
      <alignment horizontal="center" vertical="center"/>
      <protection/>
    </xf>
    <xf numFmtId="0" fontId="0" fillId="0" borderId="18" xfId="0" applyBorder="1" applyAlignment="1">
      <alignment horizontal="center" vertical="center"/>
    </xf>
    <xf numFmtId="0" fontId="0" fillId="0" borderId="14" xfId="0" applyBorder="1" applyAlignment="1">
      <alignment horizontal="center" vertical="center"/>
    </xf>
    <xf numFmtId="37" fontId="5" fillId="4" borderId="0" xfId="92" applyNumberFormat="1" applyFont="1" applyFill="1" applyAlignment="1" applyProtection="1">
      <alignment horizontal="center" vertical="center"/>
      <protection/>
    </xf>
    <xf numFmtId="0" fontId="0" fillId="0" borderId="0" xfId="92" applyAlignment="1">
      <alignment horizontal="center" vertical="center"/>
      <protection/>
    </xf>
    <xf numFmtId="0" fontId="4" fillId="4" borderId="13"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4" fillId="4" borderId="13"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37" fillId="4" borderId="21" xfId="102" applyFont="1" applyFill="1" applyBorder="1" applyAlignment="1" applyProtection="1">
      <alignment horizontal="center" vertical="center"/>
      <protection/>
    </xf>
    <xf numFmtId="0" fontId="38" fillId="0" borderId="24" xfId="102" applyFont="1" applyBorder="1" applyAlignment="1" applyProtection="1">
      <alignment horizontal="center" vertical="center"/>
      <protection/>
    </xf>
    <xf numFmtId="0" fontId="0" fillId="0" borderId="15" xfId="102" applyBorder="1" applyAlignment="1" applyProtection="1">
      <alignment vertical="center"/>
      <protection/>
    </xf>
    <xf numFmtId="0" fontId="4" fillId="27" borderId="0" xfId="0" applyFont="1" applyFill="1" applyAlignment="1" applyProtection="1">
      <alignment horizontal="center" vertical="center"/>
      <protection/>
    </xf>
    <xf numFmtId="0" fontId="4" fillId="4" borderId="0" xfId="0" applyNumberFormat="1" applyFont="1" applyFill="1" applyBorder="1" applyAlignment="1" applyProtection="1">
      <alignment horizontal="right" vertical="center"/>
      <protection/>
    </xf>
    <xf numFmtId="0" fontId="0" fillId="0" borderId="0" xfId="0" applyAlignment="1">
      <alignment horizontal="right" vertical="center"/>
    </xf>
    <xf numFmtId="3" fontId="4" fillId="4" borderId="24" xfId="126" applyNumberFormat="1" applyFont="1" applyFill="1" applyBorder="1" applyAlignment="1" applyProtection="1">
      <alignment horizontal="right" vertical="center"/>
      <protection/>
    </xf>
    <xf numFmtId="0" fontId="0" fillId="0" borderId="15" xfId="126" applyBorder="1" applyAlignment="1">
      <alignment horizontal="right" vertical="center"/>
      <protection/>
    </xf>
    <xf numFmtId="0" fontId="4" fillId="4" borderId="0" xfId="126" applyFont="1" applyFill="1" applyAlignment="1" applyProtection="1">
      <alignment horizontal="right" vertical="center"/>
      <protection/>
    </xf>
    <xf numFmtId="0" fontId="4" fillId="0" borderId="22" xfId="126" applyFont="1" applyBorder="1" applyAlignment="1">
      <alignment horizontal="right" vertical="center"/>
      <protection/>
    </xf>
    <xf numFmtId="184" fontId="37" fillId="27" borderId="21" xfId="0" applyNumberFormat="1" applyFont="1" applyFill="1" applyBorder="1" applyAlignment="1" applyProtection="1">
      <alignment horizontal="center"/>
      <protection/>
    </xf>
    <xf numFmtId="0" fontId="24" fillId="0" borderId="24" xfId="0" applyFont="1" applyBorder="1" applyAlignment="1">
      <alignment/>
    </xf>
    <xf numFmtId="0" fontId="24" fillId="0" borderId="15" xfId="0" applyFont="1" applyBorder="1" applyAlignment="1">
      <alignment/>
    </xf>
    <xf numFmtId="0" fontId="37" fillId="27" borderId="21" xfId="0" applyFont="1" applyFill="1" applyBorder="1" applyAlignment="1" applyProtection="1">
      <alignment horizontal="center" vertical="center"/>
      <protection/>
    </xf>
    <xf numFmtId="0" fontId="0" fillId="0" borderId="24" xfId="0" applyBorder="1" applyAlignment="1">
      <alignment vertical="center"/>
    </xf>
    <xf numFmtId="0" fontId="4" fillId="16" borderId="0" xfId="0" applyFont="1" applyFill="1" applyAlignment="1" applyProtection="1">
      <alignment horizontal="center" vertical="center"/>
      <protection/>
    </xf>
    <xf numFmtId="0" fontId="0" fillId="16" borderId="0" xfId="0" applyFill="1" applyAlignment="1">
      <alignment vertical="center"/>
    </xf>
    <xf numFmtId="0" fontId="0" fillId="0" borderId="24" xfId="0" applyBorder="1" applyAlignment="1">
      <alignment horizontal="center" vertical="center"/>
    </xf>
    <xf numFmtId="0" fontId="0" fillId="0" borderId="15" xfId="0" applyBorder="1" applyAlignment="1">
      <alignment/>
    </xf>
    <xf numFmtId="0" fontId="45" fillId="0" borderId="24" xfId="0" applyFont="1" applyBorder="1" applyAlignment="1">
      <alignment horizontal="center" vertical="center"/>
    </xf>
    <xf numFmtId="0" fontId="4" fillId="4" borderId="11" xfId="0" applyFont="1" applyFill="1" applyBorder="1" applyAlignment="1">
      <alignment horizontal="center" vertical="center"/>
    </xf>
    <xf numFmtId="0" fontId="4" fillId="4" borderId="14" xfId="0" applyFont="1" applyFill="1" applyBorder="1" applyAlignment="1">
      <alignment horizontal="center" vertical="center"/>
    </xf>
    <xf numFmtId="0" fontId="15" fillId="27" borderId="21" xfId="122" applyFont="1" applyFill="1" applyBorder="1" applyAlignment="1" applyProtection="1">
      <alignment horizontal="center"/>
      <protection/>
    </xf>
    <xf numFmtId="0" fontId="15" fillId="27" borderId="24" xfId="122" applyFont="1" applyFill="1" applyBorder="1" applyAlignment="1" applyProtection="1">
      <alignment horizontal="center"/>
      <protection/>
    </xf>
    <xf numFmtId="0" fontId="15" fillId="27" borderId="15" xfId="122" applyFont="1" applyFill="1" applyBorder="1" applyAlignment="1" applyProtection="1">
      <alignment horizontal="center"/>
      <protection/>
    </xf>
    <xf numFmtId="37" fontId="4" fillId="4" borderId="17" xfId="0" applyNumberFormat="1" applyFont="1" applyFill="1" applyBorder="1" applyAlignment="1" applyProtection="1">
      <alignment horizontal="center" vertical="center"/>
      <protection locked="0"/>
    </xf>
    <xf numFmtId="0" fontId="0" fillId="0" borderId="17" xfId="0" applyBorder="1" applyAlignment="1" applyProtection="1">
      <alignment vertical="center"/>
      <protection locked="0"/>
    </xf>
    <xf numFmtId="0" fontId="0" fillId="0" borderId="24" xfId="0" applyBorder="1" applyAlignment="1">
      <alignment horizontal="center"/>
    </xf>
    <xf numFmtId="0" fontId="0" fillId="0" borderId="15" xfId="0" applyBorder="1" applyAlignment="1">
      <alignment horizontal="center"/>
    </xf>
    <xf numFmtId="0" fontId="4" fillId="4" borderId="0" xfId="0" applyFont="1" applyFill="1"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82" fillId="31" borderId="35" xfId="452" applyFont="1" applyFill="1" applyBorder="1" applyAlignment="1">
      <alignment horizontal="left" vertical="top" wrapText="1"/>
      <protection/>
    </xf>
    <xf numFmtId="0" fontId="82" fillId="31" borderId="36" xfId="452" applyFont="1" applyFill="1" applyBorder="1" applyAlignment="1">
      <alignment horizontal="left" vertical="top" wrapText="1"/>
      <protection/>
    </xf>
    <xf numFmtId="0" fontId="82" fillId="31" borderId="37" xfId="452" applyFont="1" applyFill="1" applyBorder="1" applyAlignment="1">
      <alignment horizontal="left" vertical="top" wrapText="1"/>
      <protection/>
    </xf>
    <xf numFmtId="0" fontId="93" fillId="31" borderId="42" xfId="452" applyFont="1" applyFill="1" applyBorder="1" applyAlignment="1">
      <alignment horizontal="center"/>
      <protection/>
    </xf>
    <xf numFmtId="0" fontId="74" fillId="31" borderId="43" xfId="452" applyFill="1" applyBorder="1" applyAlignment="1">
      <alignment horizontal="center"/>
      <protection/>
    </xf>
    <xf numFmtId="0" fontId="74" fillId="31" borderId="44" xfId="452" applyFill="1" applyBorder="1" applyAlignment="1">
      <alignment horizontal="center"/>
      <protection/>
    </xf>
    <xf numFmtId="0" fontId="82" fillId="31" borderId="29" xfId="452" applyFont="1" applyFill="1" applyBorder="1" applyAlignment="1">
      <alignment horizontal="center"/>
      <protection/>
    </xf>
    <xf numFmtId="0" fontId="82" fillId="31" borderId="32" xfId="452" applyFont="1" applyFill="1" applyBorder="1" applyAlignment="1">
      <alignment horizontal="center"/>
      <protection/>
    </xf>
    <xf numFmtId="0" fontId="82" fillId="31" borderId="33" xfId="452" applyFont="1" applyFill="1" applyBorder="1" applyAlignment="1">
      <alignment horizontal="center"/>
      <protection/>
    </xf>
    <xf numFmtId="0" fontId="93" fillId="0" borderId="42" xfId="452" applyFont="1" applyBorder="1" applyAlignment="1">
      <alignment horizontal="center"/>
      <protection/>
    </xf>
    <xf numFmtId="0" fontId="93" fillId="0" borderId="43" xfId="452" applyFont="1" applyBorder="1" applyAlignment="1">
      <alignment horizontal="center"/>
      <protection/>
    </xf>
    <xf numFmtId="0" fontId="93" fillId="0" borderId="44" xfId="452" applyFont="1" applyBorder="1" applyAlignment="1">
      <alignment horizontal="center"/>
      <protection/>
    </xf>
    <xf numFmtId="0" fontId="82" fillId="31" borderId="30" xfId="452" applyFont="1" applyFill="1" applyBorder="1" applyAlignment="1">
      <alignment horizontal="center"/>
      <protection/>
    </xf>
    <xf numFmtId="0" fontId="82" fillId="31" borderId="0" xfId="452" applyFont="1" applyFill="1" applyBorder="1" applyAlignment="1">
      <alignment horizontal="center"/>
      <protection/>
    </xf>
    <xf numFmtId="0" fontId="82" fillId="31" borderId="31" xfId="452" applyFont="1" applyFill="1" applyBorder="1" applyAlignment="1">
      <alignment horizontal="center"/>
      <protection/>
    </xf>
    <xf numFmtId="189" fontId="41" fillId="29" borderId="17" xfId="0" applyNumberFormat="1" applyFont="1" applyFill="1" applyBorder="1" applyAlignment="1" applyProtection="1">
      <alignment horizontal="center"/>
      <protection locked="0"/>
    </xf>
    <xf numFmtId="5" fontId="41" fillId="27" borderId="17" xfId="0" applyNumberFormat="1" applyFont="1" applyFill="1" applyBorder="1" applyAlignment="1">
      <alignment horizontal="center"/>
    </xf>
    <xf numFmtId="0" fontId="41" fillId="27" borderId="0" xfId="0" applyFont="1" applyFill="1" applyBorder="1" applyAlignment="1">
      <alignment wrapText="1"/>
    </xf>
    <xf numFmtId="0" fontId="41" fillId="0" borderId="0" xfId="0" applyFont="1" applyAlignment="1">
      <alignment wrapText="1"/>
    </xf>
    <xf numFmtId="0" fontId="84" fillId="27" borderId="0" xfId="0" applyFont="1" applyFill="1" applyAlignment="1">
      <alignment horizontal="center" wrapText="1"/>
    </xf>
    <xf numFmtId="0" fontId="84" fillId="27" borderId="32" xfId="0" applyFont="1" applyFill="1" applyBorder="1" applyAlignment="1">
      <alignment horizontal="center" vertical="center"/>
    </xf>
    <xf numFmtId="0" fontId="41" fillId="0" borderId="0" xfId="0" applyFont="1" applyAlignment="1">
      <alignment horizontal="center" wrapText="1"/>
    </xf>
    <xf numFmtId="0" fontId="84" fillId="27" borderId="0" xfId="0" applyFont="1" applyFill="1" applyAlignment="1">
      <alignment horizontal="center" vertical="center"/>
    </xf>
    <xf numFmtId="0" fontId="84" fillId="0" borderId="0" xfId="0" applyFont="1" applyAlignment="1">
      <alignment horizontal="center" vertical="center"/>
    </xf>
    <xf numFmtId="0" fontId="84" fillId="27" borderId="0" xfId="0" applyFont="1" applyFill="1" applyAlignment="1">
      <alignment horizontal="center"/>
    </xf>
    <xf numFmtId="0" fontId="41" fillId="27" borderId="0" xfId="0" applyFont="1" applyFill="1" applyAlignment="1">
      <alignment wrapText="1"/>
    </xf>
    <xf numFmtId="189" fontId="41" fillId="27" borderId="0" xfId="0" applyNumberFormat="1" applyFont="1" applyFill="1" applyAlignment="1">
      <alignment/>
    </xf>
    <xf numFmtId="189" fontId="41" fillId="27" borderId="0" xfId="0" applyNumberFormat="1" applyFont="1" applyFill="1" applyAlignment="1">
      <alignment horizontal="center"/>
    </xf>
    <xf numFmtId="189" fontId="41" fillId="29" borderId="34" xfId="0" applyNumberFormat="1" applyFont="1" applyFill="1" applyBorder="1" applyAlignment="1" applyProtection="1">
      <alignment horizontal="center"/>
      <protection locked="0"/>
    </xf>
    <xf numFmtId="0" fontId="41" fillId="27" borderId="0" xfId="0" applyFont="1" applyFill="1" applyBorder="1" applyAlignment="1">
      <alignment/>
    </xf>
    <xf numFmtId="0" fontId="41" fillId="0" borderId="0" xfId="0" applyFont="1" applyBorder="1" applyAlignment="1">
      <alignment/>
    </xf>
    <xf numFmtId="0" fontId="41" fillId="27" borderId="36" xfId="0" applyFont="1" applyFill="1" applyBorder="1" applyAlignment="1">
      <alignment/>
    </xf>
    <xf numFmtId="0" fontId="41" fillId="27" borderId="37" xfId="0" applyFont="1" applyFill="1" applyBorder="1" applyAlignment="1">
      <alignment/>
    </xf>
    <xf numFmtId="183" fontId="41" fillId="29" borderId="17" xfId="0" applyNumberFormat="1" applyFont="1" applyFill="1" applyBorder="1" applyAlignment="1" applyProtection="1">
      <alignment horizontal="center"/>
      <protection locked="0"/>
    </xf>
    <xf numFmtId="190" fontId="41" fillId="27" borderId="0" xfId="0" applyNumberFormat="1" applyFont="1" applyFill="1" applyBorder="1" applyAlignment="1">
      <alignment horizontal="center"/>
    </xf>
    <xf numFmtId="190" fontId="41" fillId="0" borderId="31" xfId="0" applyNumberFormat="1" applyFont="1" applyBorder="1" applyAlignment="1">
      <alignment horizontal="center"/>
    </xf>
    <xf numFmtId="0" fontId="41" fillId="27" borderId="0" xfId="0" applyFont="1" applyFill="1" applyBorder="1" applyAlignment="1">
      <alignment horizontal="center"/>
    </xf>
    <xf numFmtId="189" fontId="41" fillId="27" borderId="0" xfId="0" applyNumberFormat="1" applyFont="1" applyFill="1" applyBorder="1" applyAlignment="1">
      <alignment horizontal="center"/>
    </xf>
    <xf numFmtId="0" fontId="41" fillId="27" borderId="24" xfId="0" applyFont="1" applyFill="1" applyBorder="1" applyAlignment="1">
      <alignment horizontal="center"/>
    </xf>
    <xf numFmtId="0" fontId="41" fillId="27" borderId="30" xfId="0" applyFont="1" applyFill="1" applyBorder="1" applyAlignment="1">
      <alignment vertical="top" wrapText="1"/>
    </xf>
    <xf numFmtId="0" fontId="41" fillId="0" borderId="0" xfId="0" applyFont="1" applyAlignment="1">
      <alignment vertical="top" wrapText="1"/>
    </xf>
    <xf numFmtId="0" fontId="41" fillId="0" borderId="31" xfId="0" applyFont="1" applyBorder="1" applyAlignment="1">
      <alignment vertical="top" wrapText="1"/>
    </xf>
    <xf numFmtId="0" fontId="41" fillId="0" borderId="31" xfId="0" applyFont="1" applyBorder="1" applyAlignment="1">
      <alignment horizontal="center"/>
    </xf>
    <xf numFmtId="0" fontId="41" fillId="0" borderId="32" xfId="0" applyFont="1" applyBorder="1" applyAlignment="1">
      <alignment horizontal="center" vertical="center"/>
    </xf>
    <xf numFmtId="0" fontId="84" fillId="27" borderId="0" xfId="0" applyFont="1" applyFill="1" applyBorder="1" applyAlignment="1">
      <alignment horizontal="center" wrapText="1"/>
    </xf>
    <xf numFmtId="0" fontId="84" fillId="0" borderId="0" xfId="0" applyFont="1" applyAlignment="1">
      <alignment horizontal="center" wrapText="1"/>
    </xf>
    <xf numFmtId="182" fontId="4" fillId="4" borderId="17" xfId="92" applyNumberFormat="1" applyFont="1" applyFill="1" applyBorder="1" applyAlignment="1" applyProtection="1">
      <alignment vertical="center"/>
      <protection/>
    </xf>
  </cellXfs>
  <cellStyles count="5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17" xfId="48"/>
    <cellStyle name="Comma 2" xfId="49"/>
    <cellStyle name="Comma 2 2" xfId="50"/>
    <cellStyle name="Comma 3 2" xfId="51"/>
    <cellStyle name="Comma 3 3" xfId="52"/>
    <cellStyle name="Comma 4" xfId="53"/>
    <cellStyle name="Comma 4 2"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16"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6" xfId="81"/>
    <cellStyle name="Hyperlink 7" xfId="82"/>
    <cellStyle name="Hyperlink 7 2" xfId="83"/>
    <cellStyle name="Hyperlink 7 3" xfId="84"/>
    <cellStyle name="Hyperlink 8" xfId="85"/>
    <cellStyle name="Hyperlink 8 2" xfId="86"/>
    <cellStyle name="Input" xfId="87"/>
    <cellStyle name="Linked Cell" xfId="88"/>
    <cellStyle name="Neutral" xfId="89"/>
    <cellStyle name="Normal 10" xfId="90"/>
    <cellStyle name="Normal 10 2" xfId="91"/>
    <cellStyle name="Normal 10 2 2" xfId="92"/>
    <cellStyle name="Normal 10 2 2 2" xfId="93"/>
    <cellStyle name="Normal 10 2 2 3" xfId="94"/>
    <cellStyle name="Normal 10 2 3" xfId="95"/>
    <cellStyle name="Normal 10 3" xfId="96"/>
    <cellStyle name="Normal 10 3 2" xfId="97"/>
    <cellStyle name="Normal 10 3 3" xfId="98"/>
    <cellStyle name="Normal 10 4" xfId="99"/>
    <cellStyle name="Normal 10 4 2" xfId="100"/>
    <cellStyle name="Normal 10 4 3" xfId="101"/>
    <cellStyle name="Normal 10 5" xfId="102"/>
    <cellStyle name="Normal 10 5 2" xfId="103"/>
    <cellStyle name="Normal 10 5 3" xfId="104"/>
    <cellStyle name="Normal 10 6" xfId="105"/>
    <cellStyle name="Normal 10 6 2" xfId="106"/>
    <cellStyle name="Normal 10 6 3" xfId="107"/>
    <cellStyle name="Normal 10 7" xfId="108"/>
    <cellStyle name="Normal 10 7 2" xfId="109"/>
    <cellStyle name="Normal 10 7 3" xfId="110"/>
    <cellStyle name="Normal 11" xfId="111"/>
    <cellStyle name="Normal 11 2" xfId="112"/>
    <cellStyle name="Normal 11 2 2" xfId="113"/>
    <cellStyle name="Normal 11 2 3" xfId="114"/>
    <cellStyle name="Normal 11 3" xfId="115"/>
    <cellStyle name="Normal 11 4" xfId="116"/>
    <cellStyle name="Normal 11 5" xfId="117"/>
    <cellStyle name="Normal 11 5 2" xfId="118"/>
    <cellStyle name="Normal 11 5 3" xfId="119"/>
    <cellStyle name="Normal 11 6" xfId="120"/>
    <cellStyle name="Normal 12" xfId="121"/>
    <cellStyle name="Normal 12 10" xfId="122"/>
    <cellStyle name="Normal 12 11" xfId="123"/>
    <cellStyle name="Normal 12 12" xfId="124"/>
    <cellStyle name="Normal 12 13" xfId="125"/>
    <cellStyle name="Normal 12 2" xfId="126"/>
    <cellStyle name="Normal 12 2 2" xfId="127"/>
    <cellStyle name="Normal 12 3" xfId="128"/>
    <cellStyle name="Normal 12 4" xfId="129"/>
    <cellStyle name="Normal 12 5" xfId="130"/>
    <cellStyle name="Normal 12 6" xfId="131"/>
    <cellStyle name="Normal 12 7" xfId="132"/>
    <cellStyle name="Normal 12 8" xfId="133"/>
    <cellStyle name="Normal 12 9" xfId="134"/>
    <cellStyle name="Normal 13" xfId="135"/>
    <cellStyle name="Normal 13 10" xfId="136"/>
    <cellStyle name="Normal 13 11" xfId="137"/>
    <cellStyle name="Normal 13 12" xfId="138"/>
    <cellStyle name="Normal 13 13" xfId="139"/>
    <cellStyle name="Normal 13 2" xfId="140"/>
    <cellStyle name="Normal 13 2 2" xfId="141"/>
    <cellStyle name="Normal 13 3" xfId="142"/>
    <cellStyle name="Normal 13 4" xfId="143"/>
    <cellStyle name="Normal 13 5" xfId="144"/>
    <cellStyle name="Normal 13 6" xfId="145"/>
    <cellStyle name="Normal 13 7" xfId="146"/>
    <cellStyle name="Normal 13 8" xfId="147"/>
    <cellStyle name="Normal 13 9" xfId="148"/>
    <cellStyle name="Normal 14" xfId="149"/>
    <cellStyle name="Normal 14 2" xfId="150"/>
    <cellStyle name="Normal 14 3" xfId="151"/>
    <cellStyle name="Normal 14 4" xfId="152"/>
    <cellStyle name="Normal 14 5" xfId="153"/>
    <cellStyle name="Normal 14 6" xfId="154"/>
    <cellStyle name="Normal 14 7" xfId="155"/>
    <cellStyle name="Normal 14 7 2" xfId="156"/>
    <cellStyle name="Normal 14 7 3" xfId="157"/>
    <cellStyle name="Normal 15" xfId="158"/>
    <cellStyle name="Normal 15 2" xfId="159"/>
    <cellStyle name="Normal 15 3" xfId="160"/>
    <cellStyle name="Normal 15 4" xfId="161"/>
    <cellStyle name="Normal 15 5" xfId="162"/>
    <cellStyle name="Normal 16" xfId="163"/>
    <cellStyle name="Normal 16 2" xfId="164"/>
    <cellStyle name="Normal 16 3" xfId="165"/>
    <cellStyle name="Normal 16 4" xfId="166"/>
    <cellStyle name="Normal 16 5" xfId="167"/>
    <cellStyle name="Normal 17" xfId="168"/>
    <cellStyle name="Normal 17 2" xfId="169"/>
    <cellStyle name="Normal 17 3" xfId="170"/>
    <cellStyle name="Normal 17 4" xfId="171"/>
    <cellStyle name="Normal 17 5" xfId="172"/>
    <cellStyle name="Normal 18" xfId="173"/>
    <cellStyle name="Normal 18 2" xfId="174"/>
    <cellStyle name="Normal 18 2 2" xfId="175"/>
    <cellStyle name="Normal 18 2 3" xfId="176"/>
    <cellStyle name="Normal 18 3" xfId="177"/>
    <cellStyle name="Normal 18 4" xfId="178"/>
    <cellStyle name="Normal 18 5" xfId="179"/>
    <cellStyle name="Normal 18 6" xfId="180"/>
    <cellStyle name="Normal 18 7" xfId="181"/>
    <cellStyle name="Normal 18 8" xfId="182"/>
    <cellStyle name="Normal 18 9" xfId="183"/>
    <cellStyle name="Normal 19" xfId="184"/>
    <cellStyle name="Normal 19 2" xfId="185"/>
    <cellStyle name="Normal 19 2 2" xfId="186"/>
    <cellStyle name="Normal 19 2 3" xfId="187"/>
    <cellStyle name="Normal 19 3" xfId="188"/>
    <cellStyle name="Normal 19 4" xfId="189"/>
    <cellStyle name="Normal 19 5" xfId="190"/>
    <cellStyle name="Normal 19 6" xfId="191"/>
    <cellStyle name="Normal 19 7" xfId="192"/>
    <cellStyle name="Normal 19 8" xfId="193"/>
    <cellStyle name="Normal 2" xfId="194"/>
    <cellStyle name="Normal 2 10" xfId="195"/>
    <cellStyle name="Normal 2 10 10" xfId="196"/>
    <cellStyle name="Normal 2 10 11" xfId="197"/>
    <cellStyle name="Normal 2 10 11 2" xfId="198"/>
    <cellStyle name="Normal 2 10 11 2 2" xfId="199"/>
    <cellStyle name="Normal 2 10 11 2 2 2" xfId="200"/>
    <cellStyle name="Normal 2 10 11 2 2 3" xfId="201"/>
    <cellStyle name="Normal 2 10 11 3" xfId="202"/>
    <cellStyle name="Normal 2 10 11 4" xfId="203"/>
    <cellStyle name="Normal 2 10 11 5" xfId="204"/>
    <cellStyle name="Normal 2 10 12" xfId="205"/>
    <cellStyle name="Normal 2 10 2" xfId="206"/>
    <cellStyle name="Normal 2 10 2 2" xfId="207"/>
    <cellStyle name="Normal 2 10 3" xfId="208"/>
    <cellStyle name="Normal 2 10 3 2" xfId="209"/>
    <cellStyle name="Normal 2 10 4" xfId="210"/>
    <cellStyle name="Normal 2 10 4 2" xfId="211"/>
    <cellStyle name="Normal 2 10 5" xfId="212"/>
    <cellStyle name="Normal 2 10 5 2" xfId="213"/>
    <cellStyle name="Normal 2 10 6" xfId="214"/>
    <cellStyle name="Normal 2 10 6 2" xfId="215"/>
    <cellStyle name="Normal 2 10 7" xfId="216"/>
    <cellStyle name="Normal 2 10 7 2" xfId="217"/>
    <cellStyle name="Normal 2 10 8" xfId="218"/>
    <cellStyle name="Normal 2 10 8 2" xfId="219"/>
    <cellStyle name="Normal 2 10 9" xfId="220"/>
    <cellStyle name="Normal 2 11" xfId="221"/>
    <cellStyle name="Normal 2 11 10" xfId="222"/>
    <cellStyle name="Normal 2 11 11" xfId="223"/>
    <cellStyle name="Normal 2 11 2" xfId="224"/>
    <cellStyle name="Normal 2 11 2 2" xfId="225"/>
    <cellStyle name="Normal 2 11 3" xfId="226"/>
    <cellStyle name="Normal 2 11 3 2" xfId="227"/>
    <cellStyle name="Normal 2 11 4" xfId="228"/>
    <cellStyle name="Normal 2 11 4 2" xfId="229"/>
    <cellStyle name="Normal 2 11 5" xfId="230"/>
    <cellStyle name="Normal 2 11 5 2" xfId="231"/>
    <cellStyle name="Normal 2 11 6" xfId="232"/>
    <cellStyle name="Normal 2 11 6 2" xfId="233"/>
    <cellStyle name="Normal 2 11 7" xfId="234"/>
    <cellStyle name="Normal 2 11 7 2" xfId="235"/>
    <cellStyle name="Normal 2 11 8" xfId="236"/>
    <cellStyle name="Normal 2 11 8 2" xfId="237"/>
    <cellStyle name="Normal 2 11 9" xfId="238"/>
    <cellStyle name="Normal 2 12" xfId="239"/>
    <cellStyle name="Normal 2 13" xfId="240"/>
    <cellStyle name="Normal 2 14" xfId="241"/>
    <cellStyle name="Normal 2 15" xfId="242"/>
    <cellStyle name="Normal 2 16" xfId="243"/>
    <cellStyle name="Normal 2 17" xfId="244"/>
    <cellStyle name="Normal 2 17 2" xfId="245"/>
    <cellStyle name="Normal 2 17 3" xfId="246"/>
    <cellStyle name="Normal 2 2" xfId="247"/>
    <cellStyle name="Normal 2 2 10" xfId="248"/>
    <cellStyle name="Normal 2 2 10 2" xfId="249"/>
    <cellStyle name="Normal 2 2 11" xfId="250"/>
    <cellStyle name="Normal 2 2 11 2" xfId="251"/>
    <cellStyle name="Normal 2 2 12" xfId="252"/>
    <cellStyle name="Normal 2 2 12 2" xfId="253"/>
    <cellStyle name="Normal 2 2 12 2 2" xfId="254"/>
    <cellStyle name="Normal 2 2 12 2 3" xfId="255"/>
    <cellStyle name="Normal 2 2 12 2 4" xfId="256"/>
    <cellStyle name="Normal 2 2 12 3" xfId="257"/>
    <cellStyle name="Normal 2 2 12 4" xfId="258"/>
    <cellStyle name="Normal 2 2 13" xfId="259"/>
    <cellStyle name="Normal 2 2 13 2" xfId="260"/>
    <cellStyle name="Normal 2 2 13 2 2" xfId="261"/>
    <cellStyle name="Normal 2 2 13 2 3" xfId="262"/>
    <cellStyle name="Normal 2 2 13 2 4" xfId="263"/>
    <cellStyle name="Normal 2 2 13 3" xfId="264"/>
    <cellStyle name="Normal 2 2 13 4" xfId="265"/>
    <cellStyle name="Normal 2 2 14" xfId="266"/>
    <cellStyle name="Normal 2 2 14 2" xfId="267"/>
    <cellStyle name="Normal 2 2 15" xfId="268"/>
    <cellStyle name="Normal 2 2 15 2" xfId="269"/>
    <cellStyle name="Normal 2 2 16" xfId="270"/>
    <cellStyle name="Normal 2 2 16 2" xfId="271"/>
    <cellStyle name="Normal 2 2 16 3" xfId="272"/>
    <cellStyle name="Normal 2 2 17" xfId="273"/>
    <cellStyle name="Normal 2 2 18" xfId="274"/>
    <cellStyle name="Normal 2 2 19" xfId="275"/>
    <cellStyle name="Normal 2 2 2" xfId="276"/>
    <cellStyle name="Normal 2 2 2 2" xfId="277"/>
    <cellStyle name="Normal 2 2 2 2 2" xfId="278"/>
    <cellStyle name="Normal 2 2 2 2 3" xfId="279"/>
    <cellStyle name="Normal 2 2 2 2 3 2" xfId="280"/>
    <cellStyle name="Normal 2 2 2 2 3 3" xfId="281"/>
    <cellStyle name="Normal 2 2 2 3" xfId="282"/>
    <cellStyle name="Normal 2 2 2 3 2" xfId="283"/>
    <cellStyle name="Normal 2 2 2 3 3" xfId="284"/>
    <cellStyle name="Normal 2 2 2 3 4" xfId="285"/>
    <cellStyle name="Normal 2 2 2 4" xfId="286"/>
    <cellStyle name="Normal 2 2 2 4 2" xfId="287"/>
    <cellStyle name="Normal 2 2 2 5" xfId="288"/>
    <cellStyle name="Normal 2 2 2 5 2" xfId="289"/>
    <cellStyle name="Normal 2 2 2 5 3" xfId="290"/>
    <cellStyle name="Normal 2 2 2 5 4" xfId="291"/>
    <cellStyle name="Normal 2 2 2 6" xfId="292"/>
    <cellStyle name="Normal 2 2 2 6 2" xfId="293"/>
    <cellStyle name="Normal 2 2 2 7" xfId="294"/>
    <cellStyle name="Normal 2 2 2 7 2" xfId="295"/>
    <cellStyle name="Normal 2 2 2 7 3" xfId="296"/>
    <cellStyle name="Normal 2 2 2 8" xfId="297"/>
    <cellStyle name="Normal 2 2 20" xfId="298"/>
    <cellStyle name="Normal 2 2 21" xfId="299"/>
    <cellStyle name="Normal 2 2 22" xfId="300"/>
    <cellStyle name="Normal 2 2 3" xfId="301"/>
    <cellStyle name="Normal 2 2 3 2" xfId="302"/>
    <cellStyle name="Normal 2 2 4" xfId="303"/>
    <cellStyle name="Normal 2 2 4 2" xfId="304"/>
    <cellStyle name="Normal 2 2 5" xfId="305"/>
    <cellStyle name="Normal 2 2 5 2" xfId="306"/>
    <cellStyle name="Normal 2 2 6" xfId="307"/>
    <cellStyle name="Normal 2 2 6 2" xfId="308"/>
    <cellStyle name="Normal 2 2 7" xfId="309"/>
    <cellStyle name="Normal 2 2 7 2" xfId="310"/>
    <cellStyle name="Normal 2 2 8" xfId="311"/>
    <cellStyle name="Normal 2 2 8 2" xfId="312"/>
    <cellStyle name="Normal 2 2 9" xfId="313"/>
    <cellStyle name="Normal 2 2 9 2" xfId="314"/>
    <cellStyle name="Normal 2 3" xfId="315"/>
    <cellStyle name="Normal 2 3 10" xfId="316"/>
    <cellStyle name="Normal 2 3 11" xfId="317"/>
    <cellStyle name="Normal 2 3 12" xfId="318"/>
    <cellStyle name="Normal 2 3 13" xfId="319"/>
    <cellStyle name="Normal 2 3 14" xfId="320"/>
    <cellStyle name="Normal 2 3 15" xfId="321"/>
    <cellStyle name="Normal 2 3 2" xfId="322"/>
    <cellStyle name="Normal 2 3 2 2" xfId="323"/>
    <cellStyle name="Normal 2 3 2 2 2" xfId="324"/>
    <cellStyle name="Normal 2 3 2 2 3" xfId="325"/>
    <cellStyle name="Normal 2 3 2 3" xfId="326"/>
    <cellStyle name="Normal 2 3 2 4" xfId="327"/>
    <cellStyle name="Normal 2 3 2 5" xfId="328"/>
    <cellStyle name="Normal 2 3 3" xfId="329"/>
    <cellStyle name="Normal 2 3 3 2" xfId="330"/>
    <cellStyle name="Normal 2 3 3 3" xfId="331"/>
    <cellStyle name="Normal 2 3 4" xfId="332"/>
    <cellStyle name="Normal 2 3 5" xfId="333"/>
    <cellStyle name="Normal 2 3 6" xfId="334"/>
    <cellStyle name="Normal 2 3 7" xfId="335"/>
    <cellStyle name="Normal 2 3 8" xfId="336"/>
    <cellStyle name="Normal 2 3 9" xfId="337"/>
    <cellStyle name="Normal 2 4" xfId="338"/>
    <cellStyle name="Normal 2 4 10" xfId="339"/>
    <cellStyle name="Normal 2 4 11" xfId="340"/>
    <cellStyle name="Normal 2 4 12" xfId="341"/>
    <cellStyle name="Normal 2 4 12 2" xfId="342"/>
    <cellStyle name="Normal 2 4 12 3" xfId="343"/>
    <cellStyle name="Normal 2 4 13" xfId="344"/>
    <cellStyle name="Normal 2 4 13 2" xfId="345"/>
    <cellStyle name="Normal 2 4 13 3" xfId="346"/>
    <cellStyle name="Normal 2 4 2" xfId="347"/>
    <cellStyle name="Normal 2 4 2 2" xfId="348"/>
    <cellStyle name="Normal 2 4 2 2 2" xfId="349"/>
    <cellStyle name="Normal 2 4 2 2 3" xfId="350"/>
    <cellStyle name="Normal 2 4 2 3" xfId="351"/>
    <cellStyle name="Normal 2 4 2 4" xfId="352"/>
    <cellStyle name="Normal 2 4 2 5" xfId="353"/>
    <cellStyle name="Normal 2 4 3" xfId="354"/>
    <cellStyle name="Normal 2 4 3 2" xfId="355"/>
    <cellStyle name="Normal 2 4 3 3" xfId="356"/>
    <cellStyle name="Normal 2 4 4" xfId="357"/>
    <cellStyle name="Normal 2 4 5" xfId="358"/>
    <cellStyle name="Normal 2 4 6" xfId="359"/>
    <cellStyle name="Normal 2 4 7" xfId="360"/>
    <cellStyle name="Normal 2 4 8" xfId="361"/>
    <cellStyle name="Normal 2 4 9" xfId="362"/>
    <cellStyle name="Normal 2 5" xfId="363"/>
    <cellStyle name="Normal 2 5 10" xfId="364"/>
    <cellStyle name="Normal 2 5 11" xfId="365"/>
    <cellStyle name="Normal 2 5 12" xfId="366"/>
    <cellStyle name="Normal 2 5 12 2" xfId="367"/>
    <cellStyle name="Normal 2 5 12 3" xfId="368"/>
    <cellStyle name="Normal 2 5 2" xfId="369"/>
    <cellStyle name="Normal 2 5 2 2" xfId="370"/>
    <cellStyle name="Normal 2 5 3" xfId="371"/>
    <cellStyle name="Normal 2 5 3 2" xfId="372"/>
    <cellStyle name="Normal 2 5 4" xfId="373"/>
    <cellStyle name="Normal 2 5 5" xfId="374"/>
    <cellStyle name="Normal 2 5 6" xfId="375"/>
    <cellStyle name="Normal 2 5 7" xfId="376"/>
    <cellStyle name="Normal 2 5 8" xfId="377"/>
    <cellStyle name="Normal 2 5 9" xfId="378"/>
    <cellStyle name="Normal 2 6" xfId="379"/>
    <cellStyle name="Normal 2 6 10" xfId="380"/>
    <cellStyle name="Normal 2 6 11" xfId="381"/>
    <cellStyle name="Normal 2 6 12" xfId="382"/>
    <cellStyle name="Normal 2 6 2" xfId="383"/>
    <cellStyle name="Normal 2 6 2 2" xfId="384"/>
    <cellStyle name="Normal 2 6 3" xfId="385"/>
    <cellStyle name="Normal 2 6 3 2" xfId="386"/>
    <cellStyle name="Normal 2 6 4" xfId="387"/>
    <cellStyle name="Normal 2 6 5" xfId="388"/>
    <cellStyle name="Normal 2 6 6" xfId="389"/>
    <cellStyle name="Normal 2 6 7" xfId="390"/>
    <cellStyle name="Normal 2 6 8" xfId="391"/>
    <cellStyle name="Normal 2 6 9" xfId="392"/>
    <cellStyle name="Normal 2 7" xfId="393"/>
    <cellStyle name="Normal 2 7 10" xfId="394"/>
    <cellStyle name="Normal 2 7 11" xfId="395"/>
    <cellStyle name="Normal 2 7 2" xfId="396"/>
    <cellStyle name="Normal 2 7 2 2" xfId="397"/>
    <cellStyle name="Normal 2 7 2 3" xfId="398"/>
    <cellStyle name="Normal 2 7 3" xfId="399"/>
    <cellStyle name="Normal 2 7 3 2" xfId="400"/>
    <cellStyle name="Normal 2 7 4" xfId="401"/>
    <cellStyle name="Normal 2 7 4 2" xfId="402"/>
    <cellStyle name="Normal 2 7 5" xfId="403"/>
    <cellStyle name="Normal 2 7 5 2" xfId="404"/>
    <cellStyle name="Normal 2 7 6" xfId="405"/>
    <cellStyle name="Normal 2 7 6 2" xfId="406"/>
    <cellStyle name="Normal 2 7 7" xfId="407"/>
    <cellStyle name="Normal 2 7 7 2" xfId="408"/>
    <cellStyle name="Normal 2 7 8" xfId="409"/>
    <cellStyle name="Normal 2 7 8 2" xfId="410"/>
    <cellStyle name="Normal 2 7 9" xfId="411"/>
    <cellStyle name="Normal 2 8" xfId="412"/>
    <cellStyle name="Normal 2 8 10" xfId="413"/>
    <cellStyle name="Normal 2 8 11" xfId="414"/>
    <cellStyle name="Normal 2 8 2" xfId="415"/>
    <cellStyle name="Normal 2 8 2 2" xfId="416"/>
    <cellStyle name="Normal 2 8 3" xfId="417"/>
    <cellStyle name="Normal 2 8 3 2" xfId="418"/>
    <cellStyle name="Normal 2 8 4" xfId="419"/>
    <cellStyle name="Normal 2 8 4 2" xfId="420"/>
    <cellStyle name="Normal 2 8 5" xfId="421"/>
    <cellStyle name="Normal 2 8 5 2" xfId="422"/>
    <cellStyle name="Normal 2 8 6" xfId="423"/>
    <cellStyle name="Normal 2 8 6 2" xfId="424"/>
    <cellStyle name="Normal 2 8 7" xfId="425"/>
    <cellStyle name="Normal 2 8 7 2" xfId="426"/>
    <cellStyle name="Normal 2 8 8" xfId="427"/>
    <cellStyle name="Normal 2 8 8 2" xfId="428"/>
    <cellStyle name="Normal 2 8 9" xfId="429"/>
    <cellStyle name="Normal 2 9" xfId="430"/>
    <cellStyle name="Normal 2 9 10" xfId="431"/>
    <cellStyle name="Normal 2 9 11" xfId="432"/>
    <cellStyle name="Normal 2 9 2" xfId="433"/>
    <cellStyle name="Normal 2 9 2 2" xfId="434"/>
    <cellStyle name="Normal 2 9 3" xfId="435"/>
    <cellStyle name="Normal 2 9 3 2" xfId="436"/>
    <cellStyle name="Normal 2 9 4" xfId="437"/>
    <cellStyle name="Normal 2 9 4 2" xfId="438"/>
    <cellStyle name="Normal 2 9 5" xfId="439"/>
    <cellStyle name="Normal 2 9 5 2" xfId="440"/>
    <cellStyle name="Normal 2 9 6" xfId="441"/>
    <cellStyle name="Normal 2 9 6 2" xfId="442"/>
    <cellStyle name="Normal 2 9 7" xfId="443"/>
    <cellStyle name="Normal 2 9 7 2" xfId="444"/>
    <cellStyle name="Normal 2 9 8" xfId="445"/>
    <cellStyle name="Normal 2 9 8 2" xfId="446"/>
    <cellStyle name="Normal 2 9 9" xfId="447"/>
    <cellStyle name="Normal 20" xfId="448"/>
    <cellStyle name="Normal 20 2" xfId="449"/>
    <cellStyle name="Normal 20 3" xfId="450"/>
    <cellStyle name="Normal 21" xfId="451"/>
    <cellStyle name="Normal 21 2" xfId="452"/>
    <cellStyle name="Normal 21 2 2" xfId="453"/>
    <cellStyle name="Normal 21 2 3" xfId="454"/>
    <cellStyle name="Normal 21 3" xfId="455"/>
    <cellStyle name="Normal 21 4" xfId="456"/>
    <cellStyle name="Normal 21 5" xfId="457"/>
    <cellStyle name="Normal 22" xfId="458"/>
    <cellStyle name="Normal 22 2" xfId="459"/>
    <cellStyle name="Normal 22 3" xfId="460"/>
    <cellStyle name="Normal 23" xfId="461"/>
    <cellStyle name="Normal 23 2" xfId="462"/>
    <cellStyle name="Normal 23 3" xfId="463"/>
    <cellStyle name="Normal 24" xfId="464"/>
    <cellStyle name="Normal 24 2" xfId="465"/>
    <cellStyle name="Normal 24 3" xfId="466"/>
    <cellStyle name="Normal 25" xfId="467"/>
    <cellStyle name="Normal 25 2" xfId="468"/>
    <cellStyle name="Normal 25 3" xfId="469"/>
    <cellStyle name="Normal 26" xfId="470"/>
    <cellStyle name="Normal 27" xfId="471"/>
    <cellStyle name="Normal 27 2" xfId="472"/>
    <cellStyle name="Normal 3" xfId="473"/>
    <cellStyle name="Normal 3 10" xfId="474"/>
    <cellStyle name="Normal 3 10 2" xfId="475"/>
    <cellStyle name="Normal 3 11" xfId="476"/>
    <cellStyle name="Normal 3 12" xfId="477"/>
    <cellStyle name="Normal 3 13" xfId="478"/>
    <cellStyle name="Normal 3 14" xfId="479"/>
    <cellStyle name="Normal 3 15" xfId="480"/>
    <cellStyle name="Normal 3 2" xfId="481"/>
    <cellStyle name="Normal 3 2 2" xfId="482"/>
    <cellStyle name="Normal 3 2 2 2" xfId="483"/>
    <cellStyle name="Normal 3 2 2 3" xfId="484"/>
    <cellStyle name="Normal 3 2 3" xfId="485"/>
    <cellStyle name="Normal 3 2 4" xfId="486"/>
    <cellStyle name="Normal 3 2 5" xfId="487"/>
    <cellStyle name="Normal 3 3" xfId="488"/>
    <cellStyle name="Normal 3 3 2" xfId="489"/>
    <cellStyle name="Normal 3 3 2 2" xfId="490"/>
    <cellStyle name="Normal 3 3 2 3" xfId="491"/>
    <cellStyle name="Normal 3 3 3" xfId="492"/>
    <cellStyle name="Normal 3 3 4" xfId="493"/>
    <cellStyle name="Normal 3 4" xfId="494"/>
    <cellStyle name="Normal 3 5" xfId="495"/>
    <cellStyle name="Normal 3 6" xfId="496"/>
    <cellStyle name="Normal 3 7" xfId="497"/>
    <cellStyle name="Normal 3 7 2" xfId="498"/>
    <cellStyle name="Normal 3 7 3" xfId="499"/>
    <cellStyle name="Normal 3 8" xfId="500"/>
    <cellStyle name="Normal 3 8 2" xfId="501"/>
    <cellStyle name="Normal 3 8 3" xfId="502"/>
    <cellStyle name="Normal 3 9" xfId="503"/>
    <cellStyle name="Normal 3 9 2" xfId="504"/>
    <cellStyle name="Normal 3 9 3" xfId="505"/>
    <cellStyle name="Normal 4" xfId="506"/>
    <cellStyle name="Normal 4 10" xfId="507"/>
    <cellStyle name="Normal 4 11" xfId="508"/>
    <cellStyle name="Normal 4 12" xfId="509"/>
    <cellStyle name="Normal 4 13" xfId="510"/>
    <cellStyle name="Normal 4 2" xfId="511"/>
    <cellStyle name="Normal 4 2 2" xfId="512"/>
    <cellStyle name="Normal 4 2 2 2" xfId="513"/>
    <cellStyle name="Normal 4 2 2 3" xfId="514"/>
    <cellStyle name="Normal 4 2 2 3 2" xfId="515"/>
    <cellStyle name="Normal 4 2 2 3 3" xfId="516"/>
    <cellStyle name="Normal 4 2 3" xfId="517"/>
    <cellStyle name="Normal 4 2 4" xfId="518"/>
    <cellStyle name="Normal 4 2 5" xfId="519"/>
    <cellStyle name="Normal 4 3" xfId="520"/>
    <cellStyle name="Normal 4 3 2" xfId="521"/>
    <cellStyle name="Normal 4 3 3" xfId="522"/>
    <cellStyle name="Normal 4 4" xfId="523"/>
    <cellStyle name="Normal 4 5" xfId="524"/>
    <cellStyle name="Normal 4 5 2" xfId="525"/>
    <cellStyle name="Normal 4 5 3" xfId="526"/>
    <cellStyle name="Normal 4 6" xfId="527"/>
    <cellStyle name="Normal 4 6 2" xfId="528"/>
    <cellStyle name="Normal 4 6 3" xfId="529"/>
    <cellStyle name="Normal 4 7" xfId="530"/>
    <cellStyle name="Normal 4 8" xfId="531"/>
    <cellStyle name="Normal 4 9" xfId="532"/>
    <cellStyle name="Normal 5" xfId="533"/>
    <cellStyle name="Normal 5 2" xfId="534"/>
    <cellStyle name="Normal 5 3" xfId="535"/>
    <cellStyle name="Normal 5 3 2" xfId="536"/>
    <cellStyle name="Normal 5 3 3" xfId="537"/>
    <cellStyle name="Normal 5 4" xfId="538"/>
    <cellStyle name="Normal 5 5" xfId="539"/>
    <cellStyle name="Normal 5 5 2" xfId="540"/>
    <cellStyle name="Normal 5 5 3" xfId="541"/>
    <cellStyle name="Normal 5 6" xfId="542"/>
    <cellStyle name="Normal 6" xfId="543"/>
    <cellStyle name="Normal 6 2" xfId="544"/>
    <cellStyle name="Normal 6 3" xfId="545"/>
    <cellStyle name="Normal 6 4" xfId="546"/>
    <cellStyle name="Normal 6 5" xfId="547"/>
    <cellStyle name="Normal 7" xfId="548"/>
    <cellStyle name="Normal 7 2" xfId="549"/>
    <cellStyle name="Normal 7 2 2" xfId="550"/>
    <cellStyle name="Normal 7 2 2 2" xfId="551"/>
    <cellStyle name="Normal 7 2 2 3" xfId="552"/>
    <cellStyle name="Normal 7 2 3" xfId="553"/>
    <cellStyle name="Normal 7 2 4" xfId="554"/>
    <cellStyle name="Normal 7 2 4 2" xfId="555"/>
    <cellStyle name="Normal 7 2 4 3" xfId="556"/>
    <cellStyle name="Normal 7 2 5" xfId="557"/>
    <cellStyle name="Normal 7 3" xfId="558"/>
    <cellStyle name="Normal 7 4" xfId="559"/>
    <cellStyle name="Normal 7 4 2" xfId="560"/>
    <cellStyle name="Normal 7 4 3" xfId="561"/>
    <cellStyle name="Normal 7 5" xfId="562"/>
    <cellStyle name="Normal 7 5 2" xfId="563"/>
    <cellStyle name="Normal 7 5 3" xfId="564"/>
    <cellStyle name="Normal 7 5 4" xfId="565"/>
    <cellStyle name="Normal 7 5 5" xfId="566"/>
    <cellStyle name="Normal 7 6" xfId="567"/>
    <cellStyle name="Normal 7 7" xfId="568"/>
    <cellStyle name="Normal 8" xfId="569"/>
    <cellStyle name="Normal 8 2" xfId="570"/>
    <cellStyle name="Normal 8 3" xfId="571"/>
    <cellStyle name="Normal 9" xfId="572"/>
    <cellStyle name="Normal 9 2" xfId="573"/>
    <cellStyle name="Normal 9 2 2" xfId="574"/>
    <cellStyle name="Normal 9 2 3" xfId="575"/>
    <cellStyle name="Normal 9 3" xfId="576"/>
    <cellStyle name="Normal 9 4" xfId="577"/>
    <cellStyle name="Normal 9 5" xfId="578"/>
    <cellStyle name="Normal 9 5 2" xfId="579"/>
    <cellStyle name="Normal 9 5 3" xfId="580"/>
    <cellStyle name="Normal 9 6" xfId="581"/>
    <cellStyle name="Normal 9 6 2" xfId="582"/>
    <cellStyle name="Normal 9 6 3" xfId="583"/>
    <cellStyle name="Normal_debt" xfId="584"/>
    <cellStyle name="Normal_lpform" xfId="585"/>
    <cellStyle name="Note" xfId="586"/>
    <cellStyle name="Output" xfId="587"/>
    <cellStyle name="Percent" xfId="588"/>
    <cellStyle name="Title" xfId="589"/>
    <cellStyle name="Total" xfId="590"/>
    <cellStyle name="Warning Text" xfId="591"/>
  </cellStyles>
  <dxfs count="352">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strike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9"/>
  <sheetViews>
    <sheetView tabSelected="1" zoomScale="75" zoomScaleNormal="75" zoomScalePageLayoutView="0" workbookViewId="0" topLeftCell="A1">
      <selection activeCell="T74" sqref="T74"/>
    </sheetView>
  </sheetViews>
  <sheetFormatPr defaultColWidth="8.796875" defaultRowHeight="15"/>
  <cols>
    <col min="1" max="1" width="79.3984375" style="31" customWidth="1"/>
    <col min="2" max="16384" width="8.8984375" style="31" customWidth="1"/>
  </cols>
  <sheetData>
    <row r="1" ht="15.75">
      <c r="A1" s="30" t="s">
        <v>936</v>
      </c>
    </row>
    <row r="3" ht="34.5" customHeight="1">
      <c r="A3" s="635" t="s">
        <v>892</v>
      </c>
    </row>
    <row r="4" ht="15.75">
      <c r="A4" s="32"/>
    </row>
    <row r="5" ht="52.5" customHeight="1">
      <c r="A5" s="33" t="s">
        <v>220</v>
      </c>
    </row>
    <row r="6" ht="15.75">
      <c r="A6" s="33"/>
    </row>
    <row r="7" ht="31.5">
      <c r="A7" s="33" t="s">
        <v>351</v>
      </c>
    </row>
    <row r="8" ht="15.75">
      <c r="A8" s="33"/>
    </row>
    <row r="9" ht="54" customHeight="1">
      <c r="A9" s="33" t="s">
        <v>355</v>
      </c>
    </row>
    <row r="10" ht="15.75">
      <c r="A10" s="33"/>
    </row>
    <row r="11" ht="15.75">
      <c r="A11" s="33" t="s">
        <v>217</v>
      </c>
    </row>
    <row r="13" ht="118.5" customHeight="1">
      <c r="A13" s="33" t="s">
        <v>310</v>
      </c>
    </row>
    <row r="14" ht="15.75">
      <c r="A14" s="33"/>
    </row>
    <row r="15" ht="83.25" customHeight="1">
      <c r="A15" s="33" t="s">
        <v>317</v>
      </c>
    </row>
    <row r="17" ht="15.75">
      <c r="A17" s="30" t="s">
        <v>648</v>
      </c>
    </row>
    <row r="18" ht="15.75">
      <c r="A18" s="30"/>
    </row>
    <row r="19" ht="15.75">
      <c r="A19" s="32" t="s">
        <v>316</v>
      </c>
    </row>
    <row r="21" ht="22.5" customHeight="1">
      <c r="A21" s="31" t="s">
        <v>391</v>
      </c>
    </row>
    <row r="22" ht="15.75" customHeight="1"/>
    <row r="23" ht="57.75" customHeight="1">
      <c r="A23" s="34" t="s">
        <v>354</v>
      </c>
    </row>
    <row r="24" ht="18.75" customHeight="1">
      <c r="A24" s="34"/>
    </row>
    <row r="26" ht="15.75">
      <c r="A26" s="30" t="s">
        <v>14</v>
      </c>
    </row>
    <row r="28" ht="34.5" customHeight="1">
      <c r="A28" s="33" t="s">
        <v>305</v>
      </c>
    </row>
    <row r="29" ht="9.75" customHeight="1">
      <c r="A29" s="33"/>
    </row>
    <row r="30" ht="15.75">
      <c r="A30" s="35" t="s">
        <v>273</v>
      </c>
    </row>
    <row r="31" ht="15.75">
      <c r="A31" s="33"/>
    </row>
    <row r="32" ht="17.25" customHeight="1">
      <c r="A32" s="36" t="s">
        <v>197</v>
      </c>
    </row>
    <row r="33" ht="17.25" customHeight="1">
      <c r="A33" s="37"/>
    </row>
    <row r="34" ht="87.75" customHeight="1">
      <c r="A34" s="38" t="s">
        <v>286</v>
      </c>
    </row>
    <row r="36" ht="15.75">
      <c r="A36" s="39" t="s">
        <v>274</v>
      </c>
    </row>
    <row r="38" ht="15.75">
      <c r="A38" s="40" t="s">
        <v>309</v>
      </c>
    </row>
    <row r="40" ht="15.75">
      <c r="A40" s="33" t="s">
        <v>15</v>
      </c>
    </row>
    <row r="42" ht="15.75">
      <c r="A42" s="30" t="s">
        <v>16</v>
      </c>
    </row>
    <row r="44" ht="70.5" customHeight="1">
      <c r="A44" s="33" t="s">
        <v>759</v>
      </c>
    </row>
    <row r="45" ht="52.5" customHeight="1">
      <c r="A45" s="41" t="s">
        <v>275</v>
      </c>
    </row>
    <row r="46" ht="108" customHeight="1">
      <c r="A46" s="41" t="s">
        <v>873</v>
      </c>
    </row>
    <row r="47" ht="15.75">
      <c r="A47" s="33"/>
    </row>
    <row r="48" ht="68.25" customHeight="1">
      <c r="A48" s="33" t="s">
        <v>760</v>
      </c>
    </row>
    <row r="49" ht="53.25" customHeight="1">
      <c r="A49" s="33" t="s">
        <v>276</v>
      </c>
    </row>
    <row r="50" ht="110.25" customHeight="1">
      <c r="A50" s="33" t="s">
        <v>352</v>
      </c>
    </row>
    <row r="51" ht="73.5" customHeight="1">
      <c r="A51" s="625" t="s">
        <v>851</v>
      </c>
    </row>
    <row r="52" ht="73.5" customHeight="1">
      <c r="A52" s="626" t="s">
        <v>634</v>
      </c>
    </row>
    <row r="53" ht="69.75" customHeight="1">
      <c r="A53" s="626" t="s">
        <v>837</v>
      </c>
    </row>
    <row r="54" ht="12" customHeight="1">
      <c r="A54" s="33"/>
    </row>
    <row r="55" ht="68.25" customHeight="1">
      <c r="A55" s="33" t="s">
        <v>635</v>
      </c>
    </row>
    <row r="56" ht="89.25" customHeight="1">
      <c r="A56" s="33" t="s">
        <v>929</v>
      </c>
    </row>
    <row r="57" ht="36" customHeight="1">
      <c r="A57" s="33" t="s">
        <v>875</v>
      </c>
    </row>
    <row r="58" ht="36.75" customHeight="1">
      <c r="A58" s="33" t="s">
        <v>636</v>
      </c>
    </row>
    <row r="59" ht="15.75" customHeight="1"/>
    <row r="60" ht="73.5" customHeight="1">
      <c r="A60" s="33" t="s">
        <v>895</v>
      </c>
    </row>
    <row r="61" ht="137.25" customHeight="1">
      <c r="A61" s="33" t="s">
        <v>931</v>
      </c>
    </row>
    <row r="62" ht="36.75" customHeight="1">
      <c r="A62" s="33" t="s">
        <v>896</v>
      </c>
    </row>
    <row r="63" ht="15.75">
      <c r="A63" s="33"/>
    </row>
    <row r="64" ht="70.5" customHeight="1">
      <c r="A64" s="33" t="s">
        <v>838</v>
      </c>
    </row>
    <row r="65" ht="15.75">
      <c r="A65" s="33"/>
    </row>
    <row r="66" ht="69" customHeight="1">
      <c r="A66" s="33" t="s">
        <v>637</v>
      </c>
    </row>
    <row r="67" ht="24.75" customHeight="1">
      <c r="A67" s="33" t="s">
        <v>653</v>
      </c>
    </row>
    <row r="68" ht="84.75" customHeight="1">
      <c r="A68" s="33" t="s">
        <v>654</v>
      </c>
    </row>
    <row r="69" ht="25.5" customHeight="1">
      <c r="A69" s="351" t="s">
        <v>652</v>
      </c>
    </row>
    <row r="70" ht="15.75">
      <c r="A70" s="33"/>
    </row>
    <row r="71" ht="60" customHeight="1">
      <c r="A71" s="33" t="s">
        <v>638</v>
      </c>
    </row>
    <row r="73" s="33" customFormat="1" ht="69" customHeight="1">
      <c r="A73" s="33" t="s">
        <v>639</v>
      </c>
    </row>
    <row r="75" ht="92.25" customHeight="1">
      <c r="A75" s="33" t="s">
        <v>640</v>
      </c>
    </row>
    <row r="76" ht="97.5" customHeight="1">
      <c r="A76" s="445" t="s">
        <v>839</v>
      </c>
    </row>
    <row r="77" ht="92.25" customHeight="1">
      <c r="A77" s="445" t="s">
        <v>840</v>
      </c>
    </row>
    <row r="78" ht="82.5" customHeight="1">
      <c r="A78" s="445" t="s">
        <v>853</v>
      </c>
    </row>
    <row r="79" ht="72.75" customHeight="1">
      <c r="A79" s="33" t="s">
        <v>854</v>
      </c>
    </row>
    <row r="80" ht="92.25" customHeight="1">
      <c r="A80" s="33" t="s">
        <v>883</v>
      </c>
    </row>
    <row r="81" ht="117" customHeight="1">
      <c r="A81" s="33" t="s">
        <v>881</v>
      </c>
    </row>
    <row r="82" ht="140.25" customHeight="1">
      <c r="A82" s="33" t="s">
        <v>882</v>
      </c>
    </row>
    <row r="83" ht="132.75" customHeight="1">
      <c r="A83" s="33" t="s">
        <v>884</v>
      </c>
    </row>
    <row r="84" ht="37.5" customHeight="1">
      <c r="A84" s="33" t="s">
        <v>885</v>
      </c>
    </row>
    <row r="85" ht="87" customHeight="1">
      <c r="A85" s="33" t="s">
        <v>886</v>
      </c>
    </row>
    <row r="86" ht="36.75" customHeight="1">
      <c r="A86" s="33" t="s">
        <v>887</v>
      </c>
    </row>
    <row r="87" ht="125.25" customHeight="1">
      <c r="A87" s="634" t="s">
        <v>888</v>
      </c>
    </row>
    <row r="88" ht="117.75" customHeight="1">
      <c r="A88" s="634" t="s">
        <v>889</v>
      </c>
    </row>
    <row r="89" ht="56.25" customHeight="1">
      <c r="A89" s="33" t="s">
        <v>890</v>
      </c>
    </row>
    <row r="91" ht="138" customHeight="1">
      <c r="A91" s="33" t="s">
        <v>641</v>
      </c>
    </row>
    <row r="92" ht="130.5" customHeight="1">
      <c r="A92" s="33" t="s">
        <v>642</v>
      </c>
    </row>
    <row r="93" ht="53.25" customHeight="1">
      <c r="A93" s="33" t="s">
        <v>644</v>
      </c>
    </row>
    <row r="94" ht="19.5" customHeight="1">
      <c r="A94" s="33" t="s">
        <v>643</v>
      </c>
    </row>
    <row r="96" ht="52.5" customHeight="1">
      <c r="A96" s="33" t="s">
        <v>645</v>
      </c>
    </row>
    <row r="97" ht="24.75" customHeight="1">
      <c r="A97" s="376" t="s">
        <v>646</v>
      </c>
    </row>
    <row r="98" ht="41.25" customHeight="1">
      <c r="A98" s="445" t="s">
        <v>841</v>
      </c>
    </row>
    <row r="99" ht="125.25" customHeight="1">
      <c r="A99" s="445" t="s">
        <v>842</v>
      </c>
    </row>
    <row r="100" ht="143.25" customHeight="1">
      <c r="A100" s="445" t="s">
        <v>843</v>
      </c>
    </row>
    <row r="101" ht="79.5" customHeight="1">
      <c r="A101" s="632" t="s">
        <v>844</v>
      </c>
    </row>
    <row r="102" ht="52.5" customHeight="1">
      <c r="A102" s="33" t="s">
        <v>845</v>
      </c>
    </row>
    <row r="103" ht="56.25" customHeight="1">
      <c r="A103" s="33" t="s">
        <v>846</v>
      </c>
    </row>
    <row r="105" ht="66" customHeight="1">
      <c r="A105" s="33" t="s">
        <v>647</v>
      </c>
    </row>
    <row r="106" ht="17.25" customHeight="1"/>
    <row r="107" ht="64.5" customHeight="1">
      <c r="A107" s="445" t="s">
        <v>761</v>
      </c>
    </row>
    <row r="108" ht="106.5" customHeight="1">
      <c r="A108" s="445" t="s">
        <v>762</v>
      </c>
    </row>
    <row r="109" ht="117.75" customHeight="1">
      <c r="A109" s="445" t="s">
        <v>763</v>
      </c>
    </row>
  </sheetData>
  <sheetProtection sheet="1"/>
  <printOptions/>
  <pageMargins left="0.5" right="0.5" top="0.5" bottom="0.5" header="0.5" footer="0.5"/>
  <pageSetup blackAndWhite="1" fitToHeight="2" horizontalDpi="300" verticalDpi="300" orientation="portrait" scale="90" r:id="rId1"/>
  <rowBreaks count="3" manualBreakCount="3">
    <brk id="24" max="0" man="1"/>
    <brk id="59" max="0" man="1"/>
    <brk id="83" max="0" man="1"/>
  </rowBreaks>
</worksheet>
</file>

<file path=xl/worksheets/sheet10.xml><?xml version="1.0" encoding="utf-8"?>
<worksheet xmlns="http://schemas.openxmlformats.org/spreadsheetml/2006/main" xmlns:r="http://schemas.openxmlformats.org/officeDocument/2006/relationships">
  <dimension ref="A1:G48"/>
  <sheetViews>
    <sheetView zoomScalePageLayoutView="0" workbookViewId="0" topLeftCell="A1">
      <selection activeCell="N91" sqref="N91"/>
    </sheetView>
  </sheetViews>
  <sheetFormatPr defaultColWidth="8.796875" defaultRowHeight="15"/>
  <cols>
    <col min="1" max="1" width="70.3984375" style="26" customWidth="1"/>
    <col min="2" max="16384" width="8.8984375" style="26" customWidth="1"/>
  </cols>
  <sheetData>
    <row r="1" spans="1:7" ht="30" customHeight="1">
      <c r="A1" s="353" t="s">
        <v>359</v>
      </c>
      <c r="B1" s="28"/>
      <c r="C1" s="28"/>
      <c r="D1" s="28"/>
      <c r="E1" s="28"/>
      <c r="F1" s="28"/>
      <c r="G1" s="28"/>
    </row>
    <row r="2" ht="15.75" customHeight="1">
      <c r="A2" s="1"/>
    </row>
    <row r="3" ht="54" customHeight="1">
      <c r="A3" s="398" t="s">
        <v>667</v>
      </c>
    </row>
    <row r="4" ht="15.75" customHeight="1">
      <c r="A4" s="1"/>
    </row>
    <row r="5" ht="52.5" customHeight="1">
      <c r="A5" s="398" t="s">
        <v>668</v>
      </c>
    </row>
    <row r="6" ht="15.75" customHeight="1">
      <c r="A6" s="1"/>
    </row>
    <row r="7" s="29" customFormat="1" ht="45.75" customHeight="1">
      <c r="A7" s="354" t="s">
        <v>397</v>
      </c>
    </row>
    <row r="8" ht="15.75" customHeight="1">
      <c r="A8" s="1"/>
    </row>
    <row r="9" ht="46.5" customHeight="1">
      <c r="A9" s="354" t="s">
        <v>398</v>
      </c>
    </row>
    <row r="10" ht="15.75" customHeight="1"/>
    <row r="11" ht="45.75" customHeight="1">
      <c r="A11" s="354" t="s">
        <v>399</v>
      </c>
    </row>
    <row r="12" ht="15.75" customHeight="1">
      <c r="A12" s="1"/>
    </row>
    <row r="13" ht="62.25" customHeight="1">
      <c r="A13" s="354" t="s">
        <v>400</v>
      </c>
    </row>
    <row r="14" ht="15.75" customHeight="1">
      <c r="A14" s="1"/>
    </row>
    <row r="15" ht="32.25" customHeight="1">
      <c r="A15" s="354" t="s">
        <v>401</v>
      </c>
    </row>
    <row r="16" ht="15.75" customHeight="1"/>
    <row r="17" ht="67.5" customHeight="1">
      <c r="A17" s="355" t="s">
        <v>669</v>
      </c>
    </row>
    <row r="18" ht="15.75" customHeight="1"/>
    <row r="19" ht="81" customHeight="1">
      <c r="A19" s="355" t="s">
        <v>402</v>
      </c>
    </row>
    <row r="20" ht="15.75" customHeight="1">
      <c r="A20" s="1"/>
    </row>
    <row r="21" ht="78" customHeight="1">
      <c r="A21" s="354" t="s">
        <v>403</v>
      </c>
    </row>
    <row r="22" ht="15.75" customHeight="1">
      <c r="A22" s="1"/>
    </row>
    <row r="23" ht="44.25" customHeight="1">
      <c r="A23" s="354" t="s">
        <v>404</v>
      </c>
    </row>
    <row r="24" ht="15.75" customHeight="1"/>
    <row r="25" ht="53.25" customHeight="1">
      <c r="A25" s="355" t="s">
        <v>405</v>
      </c>
    </row>
    <row r="26" ht="16.5" customHeight="1">
      <c r="A26" s="1"/>
    </row>
    <row r="27" ht="40.5" customHeight="1">
      <c r="A27" s="398" t="s">
        <v>670</v>
      </c>
    </row>
    <row r="28" ht="16.5" customHeight="1">
      <c r="A28" s="1"/>
    </row>
    <row r="29" ht="69.75" customHeight="1">
      <c r="A29" s="354" t="s">
        <v>406</v>
      </c>
    </row>
    <row r="30" ht="15.75" customHeight="1">
      <c r="A30" s="354"/>
    </row>
    <row r="31" ht="78" customHeight="1">
      <c r="A31" s="354" t="s">
        <v>849</v>
      </c>
    </row>
    <row r="32" ht="15.75" customHeight="1">
      <c r="A32" s="1"/>
    </row>
    <row r="33" ht="58.5" customHeight="1">
      <c r="A33" s="354" t="s">
        <v>407</v>
      </c>
    </row>
    <row r="35" ht="60.75" customHeight="1">
      <c r="A35" s="354" t="s">
        <v>408</v>
      </c>
    </row>
    <row r="36" ht="15.75">
      <c r="A36" s="1"/>
    </row>
    <row r="37" ht="82.5" customHeight="1">
      <c r="A37" s="354" t="s">
        <v>409</v>
      </c>
    </row>
    <row r="38" ht="15.75">
      <c r="A38" s="352"/>
    </row>
    <row r="39" ht="15.75">
      <c r="A39" s="352"/>
    </row>
    <row r="41" ht="15.75">
      <c r="A41" s="352"/>
    </row>
    <row r="42" ht="15.75">
      <c r="A42" s="352"/>
    </row>
    <row r="44" ht="15.75">
      <c r="A44" s="1"/>
    </row>
    <row r="45" ht="15.75">
      <c r="A45" s="352"/>
    </row>
    <row r="47" ht="15.75">
      <c r="A47" s="352"/>
    </row>
    <row r="48" ht="15.75">
      <c r="A48" s="352"/>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AC52"/>
  <sheetViews>
    <sheetView zoomScale="75" zoomScaleNormal="75" zoomScalePageLayoutView="0" workbookViewId="0" topLeftCell="A1">
      <selection activeCell="Y92" sqref="Y92"/>
    </sheetView>
  </sheetViews>
  <sheetFormatPr defaultColWidth="8.796875" defaultRowHeight="15"/>
  <cols>
    <col min="1" max="1" width="8.8984375" style="89" customWidth="1"/>
    <col min="2" max="2" width="20.796875" style="89" customWidth="1"/>
    <col min="3" max="3" width="9" style="89" customWidth="1"/>
    <col min="4" max="4" width="9.09765625" style="89" customWidth="1"/>
    <col min="5" max="5" width="8.796875" style="89" customWidth="1"/>
    <col min="6" max="6" width="12.796875" style="89" customWidth="1"/>
    <col min="7" max="7" width="14.09765625" style="89" customWidth="1"/>
    <col min="8" max="13" width="9.796875" style="89" customWidth="1"/>
    <col min="14" max="16384" width="8.8984375" style="89" customWidth="1"/>
  </cols>
  <sheetData>
    <row r="1" spans="2:13" ht="15.75">
      <c r="B1" s="160">
        <f>inputPrYr!$C$3</f>
        <v>0</v>
      </c>
      <c r="C1" s="45"/>
      <c r="D1" s="45"/>
      <c r="E1" s="45"/>
      <c r="F1" s="45"/>
      <c r="G1" s="45"/>
      <c r="H1" s="45"/>
      <c r="I1" s="45"/>
      <c r="J1" s="45"/>
      <c r="K1" s="45"/>
      <c r="L1" s="45"/>
      <c r="M1" s="198">
        <f>inputPrYr!$C$5</f>
        <v>0</v>
      </c>
    </row>
    <row r="2" spans="2:13" ht="15.75">
      <c r="B2" s="160"/>
      <c r="C2" s="45"/>
      <c r="D2" s="45"/>
      <c r="E2" s="45"/>
      <c r="F2" s="45"/>
      <c r="G2" s="45"/>
      <c r="H2" s="45"/>
      <c r="I2" s="45"/>
      <c r="J2" s="45"/>
      <c r="K2" s="45"/>
      <c r="L2" s="45"/>
      <c r="M2" s="79"/>
    </row>
    <row r="3" spans="2:13" ht="15.75">
      <c r="B3" s="199" t="s">
        <v>164</v>
      </c>
      <c r="C3" s="52"/>
      <c r="D3" s="52"/>
      <c r="E3" s="52"/>
      <c r="F3" s="52"/>
      <c r="G3" s="52"/>
      <c r="H3" s="52"/>
      <c r="I3" s="52"/>
      <c r="J3" s="52"/>
      <c r="K3" s="52"/>
      <c r="L3" s="52"/>
      <c r="M3" s="52"/>
    </row>
    <row r="4" spans="2:13" ht="15.75">
      <c r="B4" s="45"/>
      <c r="C4" s="200"/>
      <c r="D4" s="200"/>
      <c r="E4" s="200"/>
      <c r="F4" s="200"/>
      <c r="G4" s="200"/>
      <c r="H4" s="200"/>
      <c r="I4" s="200"/>
      <c r="J4" s="200"/>
      <c r="K4" s="200"/>
      <c r="L4" s="200"/>
      <c r="M4" s="200"/>
    </row>
    <row r="5" spans="2:13" ht="15.75">
      <c r="B5" s="201" t="s">
        <v>808</v>
      </c>
      <c r="C5" s="560" t="s">
        <v>132</v>
      </c>
      <c r="D5" s="201" t="s">
        <v>132</v>
      </c>
      <c r="E5" s="201" t="s">
        <v>146</v>
      </c>
      <c r="F5" s="201"/>
      <c r="G5" s="201" t="s">
        <v>237</v>
      </c>
      <c r="H5" s="45"/>
      <c r="I5" s="45"/>
      <c r="J5" s="202" t="s">
        <v>133</v>
      </c>
      <c r="K5" s="203"/>
      <c r="L5" s="202" t="s">
        <v>133</v>
      </c>
      <c r="M5" s="203"/>
    </row>
    <row r="6" spans="2:13" ht="15.75">
      <c r="B6" s="204" t="s">
        <v>134</v>
      </c>
      <c r="C6" s="559" t="s">
        <v>134</v>
      </c>
      <c r="D6" s="204" t="s">
        <v>238</v>
      </c>
      <c r="E6" s="204" t="s">
        <v>135</v>
      </c>
      <c r="F6" s="204" t="s">
        <v>39</v>
      </c>
      <c r="G6" s="204" t="s">
        <v>200</v>
      </c>
      <c r="H6" s="846" t="s">
        <v>136</v>
      </c>
      <c r="I6" s="847"/>
      <c r="J6" s="848">
        <f>M1-1</f>
        <v>-1</v>
      </c>
      <c r="K6" s="849"/>
      <c r="L6" s="848">
        <f>M1</f>
        <v>0</v>
      </c>
      <c r="M6" s="849"/>
    </row>
    <row r="7" spans="2:13" ht="15.75">
      <c r="B7" s="207" t="s">
        <v>807</v>
      </c>
      <c r="C7" s="561" t="s">
        <v>137</v>
      </c>
      <c r="D7" s="207" t="s">
        <v>239</v>
      </c>
      <c r="E7" s="207" t="s">
        <v>65</v>
      </c>
      <c r="F7" s="207" t="s">
        <v>138</v>
      </c>
      <c r="G7" s="205" t="str">
        <f>CONCATENATE("Jan 1,",M1-1,"")</f>
        <v>Jan 1,-1</v>
      </c>
      <c r="H7" s="196" t="s">
        <v>146</v>
      </c>
      <c r="I7" s="196" t="s">
        <v>147</v>
      </c>
      <c r="J7" s="196" t="s">
        <v>146</v>
      </c>
      <c r="K7" s="196" t="s">
        <v>147</v>
      </c>
      <c r="L7" s="196" t="s">
        <v>146</v>
      </c>
      <c r="M7" s="196" t="s">
        <v>147</v>
      </c>
    </row>
    <row r="8" spans="2:13" ht="15.75">
      <c r="B8" s="206" t="s">
        <v>139</v>
      </c>
      <c r="C8" s="128"/>
      <c r="D8" s="128"/>
      <c r="E8" s="208"/>
      <c r="F8" s="209"/>
      <c r="G8" s="209"/>
      <c r="H8" s="128"/>
      <c r="I8" s="128"/>
      <c r="J8" s="209"/>
      <c r="K8" s="209"/>
      <c r="L8" s="209"/>
      <c r="M8" s="209"/>
    </row>
    <row r="9" spans="2:13" ht="15.75">
      <c r="B9" s="210"/>
      <c r="C9" s="381"/>
      <c r="D9" s="381"/>
      <c r="E9" s="211"/>
      <c r="F9" s="212"/>
      <c r="G9" s="213"/>
      <c r="H9" s="214"/>
      <c r="I9" s="214"/>
      <c r="J9" s="213"/>
      <c r="K9" s="213"/>
      <c r="L9" s="213"/>
      <c r="M9" s="213"/>
    </row>
    <row r="10" spans="2:13" ht="15.75">
      <c r="B10" s="210"/>
      <c r="C10" s="381"/>
      <c r="D10" s="381"/>
      <c r="E10" s="211"/>
      <c r="F10" s="212"/>
      <c r="G10" s="213"/>
      <c r="H10" s="214"/>
      <c r="I10" s="214"/>
      <c r="J10" s="213"/>
      <c r="K10" s="213"/>
      <c r="L10" s="213"/>
      <c r="M10" s="213"/>
    </row>
    <row r="11" spans="2:13" ht="15.75">
      <c r="B11" s="210"/>
      <c r="C11" s="381"/>
      <c r="D11" s="381"/>
      <c r="E11" s="211"/>
      <c r="F11" s="212"/>
      <c r="G11" s="213"/>
      <c r="H11" s="214"/>
      <c r="I11" s="214"/>
      <c r="J11" s="213"/>
      <c r="K11" s="213"/>
      <c r="L11" s="213"/>
      <c r="M11" s="213"/>
    </row>
    <row r="12" spans="2:13" ht="15.75">
      <c r="B12" s="210"/>
      <c r="C12" s="381"/>
      <c r="D12" s="381"/>
      <c r="E12" s="211"/>
      <c r="F12" s="212"/>
      <c r="G12" s="213"/>
      <c r="H12" s="214"/>
      <c r="I12" s="214"/>
      <c r="J12" s="213"/>
      <c r="K12" s="213"/>
      <c r="L12" s="213"/>
      <c r="M12" s="213"/>
    </row>
    <row r="13" spans="2:13" ht="15.75">
      <c r="B13" s="210"/>
      <c r="C13" s="381"/>
      <c r="D13" s="381"/>
      <c r="E13" s="211"/>
      <c r="F13" s="212"/>
      <c r="G13" s="213"/>
      <c r="H13" s="214"/>
      <c r="I13" s="214"/>
      <c r="J13" s="213"/>
      <c r="K13" s="213"/>
      <c r="L13" s="213"/>
      <c r="M13" s="213"/>
    </row>
    <row r="14" spans="2:13" ht="15.75">
      <c r="B14" s="210"/>
      <c r="C14" s="381"/>
      <c r="D14" s="381"/>
      <c r="E14" s="211"/>
      <c r="F14" s="212"/>
      <c r="G14" s="213"/>
      <c r="H14" s="214"/>
      <c r="I14" s="214"/>
      <c r="J14" s="213"/>
      <c r="K14" s="213"/>
      <c r="L14" s="213"/>
      <c r="M14" s="213"/>
    </row>
    <row r="15" spans="2:13" ht="15.75">
      <c r="B15" s="210"/>
      <c r="C15" s="381"/>
      <c r="D15" s="381"/>
      <c r="E15" s="211"/>
      <c r="F15" s="212"/>
      <c r="G15" s="213"/>
      <c r="H15" s="214"/>
      <c r="I15" s="214"/>
      <c r="J15" s="213"/>
      <c r="K15" s="213"/>
      <c r="L15" s="213"/>
      <c r="M15" s="213"/>
    </row>
    <row r="16" spans="2:13" ht="15.75">
      <c r="B16" s="210"/>
      <c r="C16" s="381"/>
      <c r="D16" s="381"/>
      <c r="E16" s="211"/>
      <c r="F16" s="212"/>
      <c r="G16" s="213"/>
      <c r="H16" s="214"/>
      <c r="I16" s="214"/>
      <c r="J16" s="213"/>
      <c r="K16" s="213"/>
      <c r="L16" s="213"/>
      <c r="M16" s="213"/>
    </row>
    <row r="17" spans="2:13" ht="15.75">
      <c r="B17" s="210"/>
      <c r="C17" s="381"/>
      <c r="D17" s="381"/>
      <c r="E17" s="211"/>
      <c r="F17" s="212"/>
      <c r="G17" s="213"/>
      <c r="H17" s="214"/>
      <c r="I17" s="214"/>
      <c r="J17" s="213"/>
      <c r="K17" s="213"/>
      <c r="L17" s="213"/>
      <c r="M17" s="213"/>
    </row>
    <row r="18" spans="2:13" ht="15.75">
      <c r="B18" s="210"/>
      <c r="C18" s="381"/>
      <c r="D18" s="381"/>
      <c r="E18" s="211"/>
      <c r="F18" s="212"/>
      <c r="G18" s="213"/>
      <c r="H18" s="214"/>
      <c r="I18" s="214"/>
      <c r="J18" s="213"/>
      <c r="K18" s="213"/>
      <c r="L18" s="213"/>
      <c r="M18" s="213"/>
    </row>
    <row r="19" spans="2:13" ht="15.75">
      <c r="B19" s="210"/>
      <c r="C19" s="381"/>
      <c r="D19" s="381"/>
      <c r="E19" s="211"/>
      <c r="F19" s="212"/>
      <c r="G19" s="213"/>
      <c r="H19" s="214"/>
      <c r="I19" s="214"/>
      <c r="J19" s="213"/>
      <c r="K19" s="213"/>
      <c r="L19" s="213"/>
      <c r="M19" s="213"/>
    </row>
    <row r="20" spans="2:13" ht="15.75">
      <c r="B20" s="210"/>
      <c r="C20" s="381"/>
      <c r="D20" s="381"/>
      <c r="E20" s="211"/>
      <c r="F20" s="212"/>
      <c r="G20" s="213"/>
      <c r="H20" s="214"/>
      <c r="I20" s="214"/>
      <c r="J20" s="213"/>
      <c r="K20" s="213"/>
      <c r="L20" s="213"/>
      <c r="M20" s="213"/>
    </row>
    <row r="21" spans="2:13" ht="15.75">
      <c r="B21" s="210"/>
      <c r="C21" s="381"/>
      <c r="D21" s="381"/>
      <c r="E21" s="211"/>
      <c r="F21" s="212"/>
      <c r="G21" s="213"/>
      <c r="H21" s="214"/>
      <c r="I21" s="214"/>
      <c r="J21" s="213"/>
      <c r="K21" s="213"/>
      <c r="L21" s="213"/>
      <c r="M21" s="213"/>
    </row>
    <row r="22" spans="2:13" ht="15.75">
      <c r="B22" s="215" t="s">
        <v>140</v>
      </c>
      <c r="C22" s="216"/>
      <c r="D22" s="216"/>
      <c r="E22" s="217"/>
      <c r="F22" s="218"/>
      <c r="G22" s="219">
        <f>SUM(G9:G21)</f>
        <v>0</v>
      </c>
      <c r="H22" s="220"/>
      <c r="I22" s="220"/>
      <c r="J22" s="219">
        <f>SUM(J9:J21)</f>
        <v>0</v>
      </c>
      <c r="K22" s="219">
        <f>SUM(K9:K21)</f>
        <v>0</v>
      </c>
      <c r="L22" s="219">
        <f>SUM(L9:L21)</f>
        <v>0</v>
      </c>
      <c r="M22" s="219">
        <f>SUM(M9:M21)</f>
        <v>0</v>
      </c>
    </row>
    <row r="23" spans="2:13" ht="15.75">
      <c r="B23" s="196" t="s">
        <v>141</v>
      </c>
      <c r="C23" s="221"/>
      <c r="D23" s="221"/>
      <c r="E23" s="222"/>
      <c r="F23" s="223"/>
      <c r="G23" s="223"/>
      <c r="H23" s="224"/>
      <c r="I23" s="224"/>
      <c r="J23" s="223"/>
      <c r="K23" s="223"/>
      <c r="L23" s="223"/>
      <c r="M23" s="223"/>
    </row>
    <row r="24" spans="2:13" ht="15.75">
      <c r="B24" s="210"/>
      <c r="C24" s="381"/>
      <c r="D24" s="381"/>
      <c r="E24" s="211"/>
      <c r="F24" s="212"/>
      <c r="G24" s="213"/>
      <c r="H24" s="214"/>
      <c r="I24" s="214"/>
      <c r="J24" s="213"/>
      <c r="K24" s="213"/>
      <c r="L24" s="213"/>
      <c r="M24" s="213"/>
    </row>
    <row r="25" spans="2:13" ht="15.75">
      <c r="B25" s="210"/>
      <c r="C25" s="381"/>
      <c r="D25" s="381"/>
      <c r="E25" s="211"/>
      <c r="F25" s="212"/>
      <c r="G25" s="213"/>
      <c r="H25" s="214"/>
      <c r="I25" s="214"/>
      <c r="J25" s="213"/>
      <c r="K25" s="213"/>
      <c r="L25" s="213"/>
      <c r="M25" s="213"/>
    </row>
    <row r="26" spans="2:13" ht="15.75">
      <c r="B26" s="210"/>
      <c r="C26" s="381"/>
      <c r="D26" s="381"/>
      <c r="E26" s="211"/>
      <c r="F26" s="212"/>
      <c r="G26" s="213"/>
      <c r="H26" s="214"/>
      <c r="I26" s="214"/>
      <c r="J26" s="213"/>
      <c r="K26" s="213"/>
      <c r="L26" s="213"/>
      <c r="M26" s="213"/>
    </row>
    <row r="27" spans="2:13" ht="15.75">
      <c r="B27" s="210"/>
      <c r="C27" s="381"/>
      <c r="D27" s="381"/>
      <c r="E27" s="211"/>
      <c r="F27" s="212"/>
      <c r="G27" s="213"/>
      <c r="H27" s="214"/>
      <c r="I27" s="214"/>
      <c r="J27" s="213"/>
      <c r="K27" s="213"/>
      <c r="L27" s="213"/>
      <c r="M27" s="213"/>
    </row>
    <row r="28" spans="2:13" ht="15.75">
      <c r="B28" s="210"/>
      <c r="C28" s="381"/>
      <c r="D28" s="381"/>
      <c r="E28" s="211"/>
      <c r="F28" s="212"/>
      <c r="G28" s="213"/>
      <c r="H28" s="214"/>
      <c r="I28" s="214"/>
      <c r="J28" s="213"/>
      <c r="K28" s="213"/>
      <c r="L28" s="213"/>
      <c r="M28" s="213"/>
    </row>
    <row r="29" spans="2:13" ht="15.75">
      <c r="B29" s="210"/>
      <c r="C29" s="381"/>
      <c r="D29" s="381"/>
      <c r="E29" s="211"/>
      <c r="F29" s="212"/>
      <c r="G29" s="213"/>
      <c r="H29" s="214"/>
      <c r="I29" s="214"/>
      <c r="J29" s="213"/>
      <c r="K29" s="213"/>
      <c r="L29" s="213"/>
      <c r="M29" s="213"/>
    </row>
    <row r="30" spans="2:13" ht="15.75">
      <c r="B30" s="210"/>
      <c r="C30" s="381"/>
      <c r="D30" s="381"/>
      <c r="E30" s="211"/>
      <c r="F30" s="212"/>
      <c r="G30" s="213"/>
      <c r="H30" s="214"/>
      <c r="I30" s="214"/>
      <c r="J30" s="213"/>
      <c r="K30" s="213"/>
      <c r="L30" s="213"/>
      <c r="M30" s="213"/>
    </row>
    <row r="31" spans="2:13" ht="15.75">
      <c r="B31" s="210"/>
      <c r="C31" s="381"/>
      <c r="D31" s="381"/>
      <c r="E31" s="211"/>
      <c r="F31" s="212"/>
      <c r="G31" s="213"/>
      <c r="H31" s="214"/>
      <c r="I31" s="214"/>
      <c r="J31" s="213"/>
      <c r="K31" s="213"/>
      <c r="L31" s="213"/>
      <c r="M31" s="213"/>
    </row>
    <row r="32" spans="2:13" ht="15.75">
      <c r="B32" s="210"/>
      <c r="C32" s="381"/>
      <c r="D32" s="381"/>
      <c r="E32" s="211"/>
      <c r="F32" s="212"/>
      <c r="G32" s="213"/>
      <c r="H32" s="214"/>
      <c r="I32" s="214"/>
      <c r="J32" s="213"/>
      <c r="K32" s="213"/>
      <c r="L32" s="213"/>
      <c r="M32" s="213"/>
    </row>
    <row r="33" spans="2:13" ht="15.75">
      <c r="B33" s="210"/>
      <c r="C33" s="381"/>
      <c r="D33" s="381"/>
      <c r="E33" s="211"/>
      <c r="F33" s="212"/>
      <c r="G33" s="213"/>
      <c r="H33" s="214"/>
      <c r="I33" s="214"/>
      <c r="J33" s="213"/>
      <c r="K33" s="213"/>
      <c r="L33" s="213"/>
      <c r="M33" s="213"/>
    </row>
    <row r="34" spans="2:13" ht="15.75">
      <c r="B34" s="210"/>
      <c r="C34" s="381"/>
      <c r="D34" s="381"/>
      <c r="E34" s="211"/>
      <c r="F34" s="212"/>
      <c r="G34" s="213"/>
      <c r="H34" s="214"/>
      <c r="I34" s="214"/>
      <c r="J34" s="213"/>
      <c r="K34" s="213"/>
      <c r="L34" s="213"/>
      <c r="M34" s="213"/>
    </row>
    <row r="35" spans="2:13" ht="15.75">
      <c r="B35" s="215" t="s">
        <v>142</v>
      </c>
      <c r="C35" s="216"/>
      <c r="D35" s="216"/>
      <c r="E35" s="225"/>
      <c r="F35" s="218"/>
      <c r="G35" s="226">
        <f>SUM(G24:G34)</f>
        <v>0</v>
      </c>
      <c r="H35" s="220"/>
      <c r="I35" s="220"/>
      <c r="J35" s="226">
        <f>SUM(J24:J34)</f>
        <v>0</v>
      </c>
      <c r="K35" s="226">
        <f>SUM(K24:K34)</f>
        <v>0</v>
      </c>
      <c r="L35" s="219">
        <f>SUM(L24:L34)</f>
        <v>0</v>
      </c>
      <c r="M35" s="226">
        <f>SUM(M24:M34)</f>
        <v>0</v>
      </c>
    </row>
    <row r="36" spans="2:13" ht="15.75">
      <c r="B36" s="196" t="s">
        <v>143</v>
      </c>
      <c r="C36" s="221"/>
      <c r="D36" s="221"/>
      <c r="E36" s="222"/>
      <c r="F36" s="223"/>
      <c r="G36" s="227"/>
      <c r="H36" s="224"/>
      <c r="I36" s="224"/>
      <c r="J36" s="223"/>
      <c r="K36" s="223"/>
      <c r="L36" s="223"/>
      <c r="M36" s="223"/>
    </row>
    <row r="37" spans="2:13" ht="15.75">
      <c r="B37" s="210"/>
      <c r="C37" s="381"/>
      <c r="D37" s="381"/>
      <c r="E37" s="211"/>
      <c r="F37" s="212"/>
      <c r="G37" s="213"/>
      <c r="H37" s="214"/>
      <c r="I37" s="214"/>
      <c r="J37" s="213"/>
      <c r="K37" s="213"/>
      <c r="L37" s="213"/>
      <c r="M37" s="213"/>
    </row>
    <row r="38" spans="2:13" ht="15.75">
      <c r="B38" s="210"/>
      <c r="C38" s="381"/>
      <c r="D38" s="381"/>
      <c r="E38" s="211"/>
      <c r="F38" s="212"/>
      <c r="G38" s="213"/>
      <c r="H38" s="214"/>
      <c r="I38" s="214"/>
      <c r="J38" s="213"/>
      <c r="K38" s="213"/>
      <c r="L38" s="213"/>
      <c r="M38" s="213"/>
    </row>
    <row r="39" spans="2:13" ht="15.75">
      <c r="B39" s="210"/>
      <c r="C39" s="381"/>
      <c r="D39" s="381"/>
      <c r="E39" s="211"/>
      <c r="F39" s="212"/>
      <c r="G39" s="213"/>
      <c r="H39" s="214"/>
      <c r="I39" s="214"/>
      <c r="J39" s="213"/>
      <c r="K39" s="213"/>
      <c r="L39" s="213"/>
      <c r="M39" s="213"/>
    </row>
    <row r="40" spans="2:13" ht="15.75">
      <c r="B40" s="210"/>
      <c r="C40" s="381"/>
      <c r="D40" s="381"/>
      <c r="E40" s="211"/>
      <c r="F40" s="212"/>
      <c r="G40" s="213"/>
      <c r="H40" s="214"/>
      <c r="I40" s="214"/>
      <c r="J40" s="213"/>
      <c r="K40" s="213"/>
      <c r="L40" s="213"/>
      <c r="M40" s="213"/>
    </row>
    <row r="41" spans="2:13" ht="15.75">
      <c r="B41" s="210"/>
      <c r="C41" s="381"/>
      <c r="D41" s="381"/>
      <c r="E41" s="211"/>
      <c r="F41" s="212"/>
      <c r="G41" s="213"/>
      <c r="H41" s="214"/>
      <c r="I41" s="214"/>
      <c r="J41" s="213"/>
      <c r="K41" s="213"/>
      <c r="L41" s="213"/>
      <c r="M41" s="213"/>
    </row>
    <row r="42" spans="2:13" ht="15.75">
      <c r="B42" s="210"/>
      <c r="C42" s="381"/>
      <c r="D42" s="381"/>
      <c r="E42" s="211"/>
      <c r="F42" s="212"/>
      <c r="G42" s="213"/>
      <c r="H42" s="214"/>
      <c r="I42" s="214"/>
      <c r="J42" s="213"/>
      <c r="K42" s="213"/>
      <c r="L42" s="213"/>
      <c r="M42" s="213"/>
    </row>
    <row r="43" spans="2:13" ht="15.75">
      <c r="B43" s="210"/>
      <c r="C43" s="381"/>
      <c r="D43" s="381"/>
      <c r="E43" s="211"/>
      <c r="F43" s="212"/>
      <c r="G43" s="213"/>
      <c r="H43" s="214"/>
      <c r="I43" s="214"/>
      <c r="J43" s="213"/>
      <c r="K43" s="213"/>
      <c r="L43" s="213"/>
      <c r="M43" s="213"/>
    </row>
    <row r="44" spans="2:13" ht="15.75">
      <c r="B44" s="210"/>
      <c r="C44" s="381"/>
      <c r="D44" s="381"/>
      <c r="E44" s="211"/>
      <c r="F44" s="212"/>
      <c r="G44" s="213"/>
      <c r="H44" s="214"/>
      <c r="I44" s="214"/>
      <c r="J44" s="213"/>
      <c r="K44" s="213"/>
      <c r="L44" s="213"/>
      <c r="M44" s="213"/>
    </row>
    <row r="45" spans="2:29" ht="15.75">
      <c r="B45" s="210"/>
      <c r="C45" s="381"/>
      <c r="D45" s="381"/>
      <c r="E45" s="211"/>
      <c r="F45" s="212"/>
      <c r="G45" s="213"/>
      <c r="H45" s="214"/>
      <c r="I45" s="214"/>
      <c r="J45" s="213"/>
      <c r="K45" s="213"/>
      <c r="L45" s="213"/>
      <c r="M45" s="213"/>
      <c r="N45" s="31"/>
      <c r="O45" s="31"/>
      <c r="P45" s="31"/>
      <c r="Q45" s="31"/>
      <c r="R45" s="31"/>
      <c r="S45" s="31"/>
      <c r="T45" s="31"/>
      <c r="U45" s="31"/>
      <c r="V45" s="31"/>
      <c r="W45" s="31"/>
      <c r="X45" s="31"/>
      <c r="Y45" s="31"/>
      <c r="Z45" s="31"/>
      <c r="AA45" s="31"/>
      <c r="AB45" s="31"/>
      <c r="AC45" s="31"/>
    </row>
    <row r="46" spans="2:13" ht="15.75">
      <c r="B46" s="215" t="s">
        <v>240</v>
      </c>
      <c r="C46" s="215"/>
      <c r="D46" s="215"/>
      <c r="E46" s="225"/>
      <c r="F46" s="218"/>
      <c r="G46" s="226">
        <f>SUM(G37:G45)</f>
        <v>0</v>
      </c>
      <c r="H46" s="218"/>
      <c r="I46" s="218"/>
      <c r="J46" s="226">
        <f>SUM(J37:J45)</f>
        <v>0</v>
      </c>
      <c r="K46" s="226">
        <f>SUM(K37:K45)</f>
        <v>0</v>
      </c>
      <c r="L46" s="226">
        <f>SUM(L37:L45)</f>
        <v>0</v>
      </c>
      <c r="M46" s="226">
        <f>SUM(M37:M45)</f>
        <v>0</v>
      </c>
    </row>
    <row r="47" spans="2:13" ht="15.75">
      <c r="B47" s="215" t="s">
        <v>144</v>
      </c>
      <c r="C47" s="215"/>
      <c r="D47" s="215"/>
      <c r="E47" s="215"/>
      <c r="F47" s="218"/>
      <c r="G47" s="226">
        <f>SUM(G22+G35+G46)</f>
        <v>0</v>
      </c>
      <c r="H47" s="218"/>
      <c r="I47" s="218"/>
      <c r="J47" s="226">
        <f>SUM(J22+J35+J46)</f>
        <v>0</v>
      </c>
      <c r="K47" s="226">
        <f>SUM(K22+K35+K46)</f>
        <v>0</v>
      </c>
      <c r="L47" s="226">
        <f>SUM(L22+L35+L46)</f>
        <v>0</v>
      </c>
      <c r="M47" s="226">
        <f>SUM(M22+M35+M46)</f>
        <v>0</v>
      </c>
    </row>
    <row r="48" spans="2:13" ht="15.75">
      <c r="B48" s="31"/>
      <c r="C48" s="31"/>
      <c r="D48" s="31"/>
      <c r="E48" s="31"/>
      <c r="F48" s="31"/>
      <c r="G48" s="31"/>
      <c r="H48" s="31"/>
      <c r="I48" s="31"/>
      <c r="J48" s="31"/>
      <c r="K48" s="31"/>
      <c r="L48" s="31"/>
      <c r="M48" s="31"/>
    </row>
    <row r="49" spans="6:13" ht="15.75">
      <c r="F49" s="228"/>
      <c r="G49" s="228"/>
      <c r="J49" s="228"/>
      <c r="K49" s="228"/>
      <c r="L49" s="228"/>
      <c r="M49" s="228"/>
    </row>
    <row r="50" spans="6:14" ht="15.75">
      <c r="F50" s="31"/>
      <c r="H50" s="229"/>
      <c r="N50" s="31"/>
    </row>
    <row r="51" spans="2:13" ht="15.75">
      <c r="B51" s="31"/>
      <c r="C51" s="31"/>
      <c r="D51" s="31"/>
      <c r="E51" s="31"/>
      <c r="F51" s="31"/>
      <c r="G51" s="31"/>
      <c r="H51" s="31"/>
      <c r="I51" s="31"/>
      <c r="J51" s="31"/>
      <c r="K51" s="31"/>
      <c r="L51" s="31"/>
      <c r="M51" s="31"/>
    </row>
    <row r="52" spans="2:13" ht="15.75">
      <c r="B52" s="31"/>
      <c r="C52" s="31"/>
      <c r="D52" s="31"/>
      <c r="E52" s="31"/>
      <c r="F52" s="31"/>
      <c r="G52" s="31"/>
      <c r="H52" s="31"/>
      <c r="I52" s="31"/>
      <c r="J52" s="31"/>
      <c r="K52" s="31"/>
      <c r="L52" s="31"/>
      <c r="M52" s="31"/>
    </row>
  </sheetData>
  <sheetProtection sheet="1"/>
  <mergeCells count="3">
    <mergeCell ref="H6:I6"/>
    <mergeCell ref="J6:K6"/>
    <mergeCell ref="L6:M6"/>
  </mergeCells>
  <printOptions/>
  <pageMargins left="0.48" right="0.5" top="0.78" bottom="0.4" header="0.5" footer="0"/>
  <pageSetup blackAndWhite="1" fitToHeight="1" fitToWidth="1" horizontalDpi="120" verticalDpi="120" orientation="landscape" scale="68" r:id="rId1"/>
  <headerFooter alignWithMargins="0">
    <oddHeader>&amp;RState of Kansas
County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48"/>
  <sheetViews>
    <sheetView zoomScale="75" zoomScaleNormal="75" zoomScalePageLayoutView="0" workbookViewId="0" topLeftCell="A1">
      <selection activeCell="V89" sqref="V89"/>
    </sheetView>
  </sheetViews>
  <sheetFormatPr defaultColWidth="8.796875" defaultRowHeight="15"/>
  <cols>
    <col min="1" max="1" width="8.8984375" style="31" customWidth="1"/>
    <col min="2" max="2" width="25.796875" style="31" customWidth="1"/>
    <col min="3" max="5" width="9.796875" style="31" customWidth="1"/>
    <col min="6" max="6" width="17.09765625" style="31" customWidth="1"/>
    <col min="7" max="9" width="15.796875" style="31" customWidth="1"/>
    <col min="10" max="16384" width="8.8984375" style="31" customWidth="1"/>
  </cols>
  <sheetData>
    <row r="1" spans="2:9" ht="15.75">
      <c r="B1" s="160">
        <f>inputPrYr!$C$3</f>
        <v>0</v>
      </c>
      <c r="C1" s="45"/>
      <c r="D1" s="45"/>
      <c r="E1" s="45"/>
      <c r="F1" s="45"/>
      <c r="G1" s="45"/>
      <c r="H1" s="45"/>
      <c r="I1" s="230">
        <f>inputPrYr!C5</f>
        <v>0</v>
      </c>
    </row>
    <row r="2" spans="2:9" ht="15.75">
      <c r="B2" s="45"/>
      <c r="C2" s="45"/>
      <c r="D2" s="45"/>
      <c r="E2" s="45"/>
      <c r="F2" s="45"/>
      <c r="G2" s="45"/>
      <c r="H2" s="45"/>
      <c r="I2" s="79"/>
    </row>
    <row r="3" spans="2:9" ht="15.75">
      <c r="B3" s="45"/>
      <c r="C3" s="52"/>
      <c r="D3" s="52"/>
      <c r="E3" s="52"/>
      <c r="F3" s="52"/>
      <c r="G3" s="52"/>
      <c r="H3" s="52"/>
      <c r="I3" s="231"/>
    </row>
    <row r="4" spans="2:9" ht="15.75">
      <c r="B4" s="199" t="s">
        <v>156</v>
      </c>
      <c r="C4" s="52"/>
      <c r="D4" s="52"/>
      <c r="E4" s="52"/>
      <c r="F4" s="52"/>
      <c r="G4" s="52"/>
      <c r="H4" s="52"/>
      <c r="I4" s="52"/>
    </row>
    <row r="5" spans="2:9" ht="15.75">
      <c r="B5" s="68"/>
      <c r="C5" s="200"/>
      <c r="D5" s="200"/>
      <c r="E5" s="200"/>
      <c r="F5" s="200"/>
      <c r="G5" s="200"/>
      <c r="H5" s="200"/>
      <c r="I5" s="200"/>
    </row>
    <row r="6" spans="2:9" ht="15.75">
      <c r="B6" s="232"/>
      <c r="C6" s="233"/>
      <c r="D6" s="233"/>
      <c r="E6" s="233"/>
      <c r="F6" s="201" t="s">
        <v>19</v>
      </c>
      <c r="G6" s="233"/>
      <c r="H6" s="233"/>
      <c r="I6" s="233"/>
    </row>
    <row r="7" spans="2:9" ht="15.75">
      <c r="B7" s="232"/>
      <c r="C7" s="204"/>
      <c r="D7" s="204" t="s">
        <v>145</v>
      </c>
      <c r="E7" s="204" t="s">
        <v>146</v>
      </c>
      <c r="F7" s="204" t="s">
        <v>39</v>
      </c>
      <c r="G7" s="204" t="s">
        <v>147</v>
      </c>
      <c r="H7" s="204" t="s">
        <v>148</v>
      </c>
      <c r="I7" s="204" t="s">
        <v>148</v>
      </c>
    </row>
    <row r="8" spans="2:9" ht="15.75">
      <c r="B8" s="562" t="s">
        <v>810</v>
      </c>
      <c r="C8" s="204" t="s">
        <v>149</v>
      </c>
      <c r="D8" s="204" t="s">
        <v>150</v>
      </c>
      <c r="E8" s="204" t="s">
        <v>135</v>
      </c>
      <c r="F8" s="204" t="s">
        <v>151</v>
      </c>
      <c r="G8" s="204" t="s">
        <v>190</v>
      </c>
      <c r="H8" s="204" t="s">
        <v>152</v>
      </c>
      <c r="I8" s="204" t="s">
        <v>152</v>
      </c>
    </row>
    <row r="9" spans="2:9" ht="15.75">
      <c r="B9" s="546" t="s">
        <v>809</v>
      </c>
      <c r="C9" s="207" t="s">
        <v>132</v>
      </c>
      <c r="D9" s="235" t="s">
        <v>153</v>
      </c>
      <c r="E9" s="207" t="s">
        <v>65</v>
      </c>
      <c r="F9" s="235" t="s">
        <v>201</v>
      </c>
      <c r="G9" s="236" t="str">
        <f>CONCATENATE("Jan 1,",I1-1,"")</f>
        <v>Jan 1,-1</v>
      </c>
      <c r="H9" s="207">
        <f>I1-1</f>
        <v>-1</v>
      </c>
      <c r="I9" s="207">
        <f>I1</f>
        <v>0</v>
      </c>
    </row>
    <row r="10" spans="2:9" ht="15.75">
      <c r="B10" s="65"/>
      <c r="C10" s="65"/>
      <c r="D10" s="237"/>
      <c r="E10" s="238"/>
      <c r="F10" s="66"/>
      <c r="G10" s="66"/>
      <c r="H10" s="66"/>
      <c r="I10" s="66"/>
    </row>
    <row r="11" spans="2:9" ht="15.75">
      <c r="B11" s="65"/>
      <c r="C11" s="65"/>
      <c r="D11" s="237"/>
      <c r="E11" s="238"/>
      <c r="F11" s="66"/>
      <c r="G11" s="66"/>
      <c r="H11" s="66"/>
      <c r="I11" s="66"/>
    </row>
    <row r="12" spans="2:9" ht="15.75">
      <c r="B12" s="65"/>
      <c r="C12" s="65"/>
      <c r="D12" s="237"/>
      <c r="E12" s="238"/>
      <c r="F12" s="66"/>
      <c r="G12" s="66"/>
      <c r="H12" s="66"/>
      <c r="I12" s="66"/>
    </row>
    <row r="13" spans="2:9" ht="15.75">
      <c r="B13" s="65"/>
      <c r="C13" s="397"/>
      <c r="D13" s="237"/>
      <c r="E13" s="238"/>
      <c r="F13" s="66"/>
      <c r="G13" s="66"/>
      <c r="H13" s="66"/>
      <c r="I13" s="66"/>
    </row>
    <row r="14" spans="2:9" ht="15.75">
      <c r="B14" s="65"/>
      <c r="C14" s="65"/>
      <c r="D14" s="237"/>
      <c r="E14" s="238"/>
      <c r="F14" s="66"/>
      <c r="G14" s="66"/>
      <c r="H14" s="66"/>
      <c r="I14" s="66"/>
    </row>
    <row r="15" spans="2:9" ht="15.75">
      <c r="B15" s="65"/>
      <c r="C15" s="65"/>
      <c r="D15" s="237"/>
      <c r="E15" s="238"/>
      <c r="F15" s="66"/>
      <c r="G15" s="66"/>
      <c r="H15" s="66"/>
      <c r="I15" s="66"/>
    </row>
    <row r="16" spans="2:9" ht="15.75">
      <c r="B16" s="65"/>
      <c r="C16" s="65"/>
      <c r="D16" s="237"/>
      <c r="E16" s="238"/>
      <c r="F16" s="66"/>
      <c r="G16" s="66"/>
      <c r="H16" s="66"/>
      <c r="I16" s="66"/>
    </row>
    <row r="17" spans="2:9" ht="15.75">
      <c r="B17" s="65"/>
      <c r="C17" s="65"/>
      <c r="D17" s="237"/>
      <c r="E17" s="238"/>
      <c r="F17" s="66"/>
      <c r="G17" s="66"/>
      <c r="H17" s="66"/>
      <c r="I17" s="66"/>
    </row>
    <row r="18" spans="2:9" ht="15.75">
      <c r="B18" s="65"/>
      <c r="C18" s="65"/>
      <c r="D18" s="237"/>
      <c r="E18" s="238"/>
      <c r="F18" s="66"/>
      <c r="G18" s="66"/>
      <c r="H18" s="66"/>
      <c r="I18" s="66"/>
    </row>
    <row r="19" spans="2:9" ht="15.75">
      <c r="B19" s="65"/>
      <c r="C19" s="65"/>
      <c r="D19" s="237"/>
      <c r="E19" s="238"/>
      <c r="F19" s="66"/>
      <c r="G19" s="66"/>
      <c r="H19" s="66"/>
      <c r="I19" s="66"/>
    </row>
    <row r="20" spans="2:9" ht="15.75">
      <c r="B20" s="65"/>
      <c r="C20" s="65"/>
      <c r="D20" s="237"/>
      <c r="E20" s="238"/>
      <c r="F20" s="66"/>
      <c r="G20" s="66"/>
      <c r="H20" s="66"/>
      <c r="I20" s="66"/>
    </row>
    <row r="21" spans="2:9" ht="15.75">
      <c r="B21" s="65"/>
      <c r="C21" s="65"/>
      <c r="D21" s="237"/>
      <c r="E21" s="238"/>
      <c r="F21" s="66"/>
      <c r="G21" s="66"/>
      <c r="H21" s="66"/>
      <c r="I21" s="66"/>
    </row>
    <row r="22" spans="2:9" ht="15.75">
      <c r="B22" s="65"/>
      <c r="C22" s="65"/>
      <c r="D22" s="237"/>
      <c r="E22" s="238"/>
      <c r="F22" s="66"/>
      <c r="G22" s="66"/>
      <c r="H22" s="66"/>
      <c r="I22" s="66"/>
    </row>
    <row r="23" spans="2:9" ht="15.75">
      <c r="B23" s="65"/>
      <c r="C23" s="65"/>
      <c r="D23" s="237"/>
      <c r="E23" s="238"/>
      <c r="F23" s="66"/>
      <c r="G23" s="66"/>
      <c r="H23" s="66"/>
      <c r="I23" s="66"/>
    </row>
    <row r="24" spans="2:9" ht="15.75">
      <c r="B24" s="65"/>
      <c r="C24" s="65"/>
      <c r="D24" s="237"/>
      <c r="E24" s="238"/>
      <c r="F24" s="66"/>
      <c r="G24" s="66"/>
      <c r="H24" s="66"/>
      <c r="I24" s="66"/>
    </row>
    <row r="25" spans="2:9" ht="15.75">
      <c r="B25" s="65"/>
      <c r="C25" s="65"/>
      <c r="D25" s="237"/>
      <c r="E25" s="238"/>
      <c r="F25" s="66"/>
      <c r="G25" s="66"/>
      <c r="H25" s="66"/>
      <c r="I25" s="66"/>
    </row>
    <row r="26" spans="2:9" ht="15.75">
      <c r="B26" s="65"/>
      <c r="C26" s="65"/>
      <c r="D26" s="237"/>
      <c r="E26" s="238"/>
      <c r="F26" s="66"/>
      <c r="G26" s="66"/>
      <c r="H26" s="66"/>
      <c r="I26" s="66"/>
    </row>
    <row r="27" spans="2:9" ht="15.75">
      <c r="B27" s="65"/>
      <c r="C27" s="65"/>
      <c r="D27" s="237"/>
      <c r="E27" s="238"/>
      <c r="F27" s="66"/>
      <c r="G27" s="66"/>
      <c r="H27" s="66"/>
      <c r="I27" s="66"/>
    </row>
    <row r="28" spans="2:9" ht="15.75">
      <c r="B28" s="65"/>
      <c r="C28" s="65"/>
      <c r="D28" s="237"/>
      <c r="E28" s="238"/>
      <c r="F28" s="66"/>
      <c r="G28" s="66"/>
      <c r="H28" s="66"/>
      <c r="I28" s="66"/>
    </row>
    <row r="29" spans="2:9" ht="15.75">
      <c r="B29" s="65"/>
      <c r="C29" s="65"/>
      <c r="D29" s="237"/>
      <c r="E29" s="238"/>
      <c r="F29" s="66"/>
      <c r="G29" s="66"/>
      <c r="H29" s="66"/>
      <c r="I29" s="66"/>
    </row>
    <row r="30" spans="2:9" ht="15.75">
      <c r="B30" s="65"/>
      <c r="C30" s="65"/>
      <c r="D30" s="237"/>
      <c r="E30" s="238"/>
      <c r="F30" s="66"/>
      <c r="G30" s="66"/>
      <c r="H30" s="66"/>
      <c r="I30" s="66"/>
    </row>
    <row r="31" spans="2:9" ht="15.75">
      <c r="B31" s="65"/>
      <c r="C31" s="65"/>
      <c r="D31" s="237"/>
      <c r="E31" s="238"/>
      <c r="F31" s="66"/>
      <c r="G31" s="66"/>
      <c r="H31" s="66"/>
      <c r="I31" s="66"/>
    </row>
    <row r="32" spans="2:9" ht="15.75">
      <c r="B32" s="65"/>
      <c r="C32" s="65"/>
      <c r="D32" s="237"/>
      <c r="E32" s="238"/>
      <c r="F32" s="66"/>
      <c r="G32" s="66"/>
      <c r="H32" s="66"/>
      <c r="I32" s="66"/>
    </row>
    <row r="33" spans="2:9" ht="15.75">
      <c r="B33" s="65"/>
      <c r="C33" s="65"/>
      <c r="D33" s="237"/>
      <c r="E33" s="238"/>
      <c r="F33" s="66"/>
      <c r="G33" s="66"/>
      <c r="H33" s="66"/>
      <c r="I33" s="66"/>
    </row>
    <row r="34" spans="2:9" ht="15.75">
      <c r="B34" s="65"/>
      <c r="C34" s="65"/>
      <c r="D34" s="237"/>
      <c r="E34" s="238"/>
      <c r="F34" s="66"/>
      <c r="G34" s="66"/>
      <c r="H34" s="66"/>
      <c r="I34" s="66"/>
    </row>
    <row r="35" spans="2:9" ht="15.75">
      <c r="B35" s="65"/>
      <c r="C35" s="65"/>
      <c r="D35" s="237"/>
      <c r="E35" s="238"/>
      <c r="F35" s="66"/>
      <c r="G35" s="66"/>
      <c r="H35" s="66"/>
      <c r="I35" s="66"/>
    </row>
    <row r="36" spans="2:9" ht="15.75">
      <c r="B36" s="65"/>
      <c r="C36" s="65"/>
      <c r="D36" s="237"/>
      <c r="E36" s="238"/>
      <c r="F36" s="66"/>
      <c r="G36" s="66"/>
      <c r="H36" s="66"/>
      <c r="I36" s="66"/>
    </row>
    <row r="37" spans="2:10" ht="16.5" thickBot="1">
      <c r="B37" s="45"/>
      <c r="C37" s="45"/>
      <c r="D37" s="45"/>
      <c r="E37" s="45"/>
      <c r="F37" s="196" t="s">
        <v>46</v>
      </c>
      <c r="G37" s="239">
        <f>SUM(G10:G36)</f>
        <v>0</v>
      </c>
      <c r="H37" s="239">
        <f>SUM(H10:H36)</f>
        <v>0</v>
      </c>
      <c r="I37" s="239">
        <f>SUM(I10:I36)</f>
        <v>0</v>
      </c>
      <c r="J37" s="240"/>
    </row>
    <row r="38" spans="2:9" ht="16.5" thickTop="1">
      <c r="B38" s="45"/>
      <c r="C38" s="45"/>
      <c r="D38" s="45"/>
      <c r="E38" s="45"/>
      <c r="F38" s="45"/>
      <c r="G38" s="45"/>
      <c r="H38" s="160"/>
      <c r="I38" s="160"/>
    </row>
    <row r="39" spans="2:9" ht="15.75">
      <c r="B39" s="241" t="s">
        <v>340</v>
      </c>
      <c r="C39" s="242"/>
      <c r="D39" s="242"/>
      <c r="E39" s="242"/>
      <c r="F39" s="242"/>
      <c r="G39" s="242"/>
      <c r="H39" s="160"/>
      <c r="I39" s="160"/>
    </row>
    <row r="40" spans="2:9" ht="15.75">
      <c r="B40" s="89"/>
      <c r="C40" s="89"/>
      <c r="D40" s="229"/>
      <c r="E40" s="89"/>
      <c r="F40" s="89"/>
      <c r="G40" s="89"/>
      <c r="H40" s="228"/>
      <c r="I40" s="228"/>
    </row>
    <row r="41" spans="2:9" ht="15.75">
      <c r="B41" s="89"/>
      <c r="C41" s="89"/>
      <c r="D41" s="89"/>
      <c r="E41" s="89"/>
      <c r="F41" s="89"/>
      <c r="G41" s="89"/>
      <c r="H41" s="89"/>
      <c r="I41" s="89"/>
    </row>
    <row r="42" spans="2:9" ht="15.75">
      <c r="B42" s="89"/>
      <c r="C42" s="89"/>
      <c r="D42" s="89"/>
      <c r="E42" s="89"/>
      <c r="F42" s="89"/>
      <c r="G42" s="89"/>
      <c r="H42" s="89"/>
      <c r="I42" s="89"/>
    </row>
    <row r="43" spans="2:9" ht="15.75">
      <c r="B43" s="89"/>
      <c r="C43" s="89"/>
      <c r="D43" s="89"/>
      <c r="E43" s="89"/>
      <c r="F43" s="89"/>
      <c r="G43" s="89"/>
      <c r="H43" s="89"/>
      <c r="I43" s="89"/>
    </row>
    <row r="44" spans="2:9" ht="15.75">
      <c r="B44" s="89"/>
      <c r="C44" s="89"/>
      <c r="D44" s="89"/>
      <c r="E44" s="89"/>
      <c r="F44" s="89"/>
      <c r="G44" s="89"/>
      <c r="H44" s="89"/>
      <c r="I44" s="89"/>
    </row>
    <row r="45" spans="2:9" ht="15.75">
      <c r="B45" s="89"/>
      <c r="C45" s="89"/>
      <c r="D45" s="89"/>
      <c r="E45" s="89"/>
      <c r="F45" s="89"/>
      <c r="G45" s="89"/>
      <c r="H45" s="89"/>
      <c r="I45" s="89"/>
    </row>
    <row r="46" spans="2:9" ht="15.75">
      <c r="B46" s="89"/>
      <c r="C46" s="89"/>
      <c r="D46" s="89"/>
      <c r="E46" s="89"/>
      <c r="F46" s="89"/>
      <c r="G46" s="89"/>
      <c r="H46" s="89"/>
      <c r="I46" s="89"/>
    </row>
    <row r="47" spans="2:9" ht="15.75">
      <c r="B47" s="89"/>
      <c r="C47" s="89"/>
      <c r="D47" s="89"/>
      <c r="E47" s="89"/>
      <c r="F47" s="89"/>
      <c r="G47" s="89"/>
      <c r="H47" s="89"/>
      <c r="I47" s="89"/>
    </row>
    <row r="48" spans="2:9" ht="15.75">
      <c r="B48" s="89"/>
      <c r="C48" s="89"/>
      <c r="D48" s="89"/>
      <c r="E48" s="89"/>
      <c r="F48" s="89"/>
      <c r="G48" s="89"/>
      <c r="H48" s="89"/>
      <c r="I48" s="89"/>
    </row>
  </sheetData>
  <sheetProtection sheet="1"/>
  <printOptions/>
  <pageMargins left="0.24" right="0.82" top="0.78" bottom="0.4" header="0.5" footer="0"/>
  <pageSetup blackAndWhite="1" fitToHeight="1" fitToWidth="1" horizontalDpi="120" verticalDpi="120" orientation="landscape" scale="77" r:id="rId1"/>
  <headerFooter alignWithMargins="0">
    <oddHeader>&amp;RState of Kansas
County
</oddHeader>
    <oddFooter>&amp;CPage No. 6</oddFooter>
  </headerFooter>
</worksheet>
</file>

<file path=xl/worksheets/sheet13.xml><?xml version="1.0" encoding="utf-8"?>
<worksheet xmlns="http://schemas.openxmlformats.org/spreadsheetml/2006/main" xmlns:r="http://schemas.openxmlformats.org/officeDocument/2006/relationships">
  <dimension ref="B1:K136"/>
  <sheetViews>
    <sheetView zoomScalePageLayoutView="0" workbookViewId="0" topLeftCell="A1">
      <selection activeCell="Q169" sqref="Q169"/>
    </sheetView>
  </sheetViews>
  <sheetFormatPr defaultColWidth="8.796875" defaultRowHeight="15"/>
  <cols>
    <col min="1" max="1" width="2.3984375" style="31" customWidth="1"/>
    <col min="2" max="2" width="31.09765625" style="31" customWidth="1"/>
    <col min="3" max="4" width="15.796875" style="31" customWidth="1"/>
    <col min="5" max="5" width="16.09765625" style="31" customWidth="1"/>
    <col min="6" max="6" width="7.3984375" style="31" customWidth="1"/>
    <col min="7" max="7" width="10.19921875" style="31" customWidth="1"/>
    <col min="8" max="8" width="8.8984375" style="31" customWidth="1"/>
    <col min="9" max="9" width="5.8984375" style="31" customWidth="1"/>
    <col min="10" max="10" width="10" style="31" customWidth="1"/>
    <col min="11" max="16384" width="8.8984375" style="31" customWidth="1"/>
  </cols>
  <sheetData>
    <row r="1" spans="2:5" ht="15.75">
      <c r="B1" s="160">
        <f>inputPrYr!$C$3</f>
        <v>0</v>
      </c>
      <c r="C1" s="45"/>
      <c r="D1" s="45"/>
      <c r="E1" s="230">
        <f>inputPrYr!C5</f>
        <v>0</v>
      </c>
    </row>
    <row r="2" spans="2:5" ht="15.75">
      <c r="B2" s="45"/>
      <c r="C2" s="45"/>
      <c r="D2" s="45"/>
      <c r="E2" s="79"/>
    </row>
    <row r="3" spans="2:5" ht="15.75">
      <c r="B3" s="414" t="s">
        <v>162</v>
      </c>
      <c r="C3" s="45"/>
      <c r="D3" s="45"/>
      <c r="E3" s="243"/>
    </row>
    <row r="4" spans="2:5" ht="15.75">
      <c r="B4" s="146" t="s">
        <v>49</v>
      </c>
      <c r="C4" s="563" t="s">
        <v>811</v>
      </c>
      <c r="D4" s="564" t="s">
        <v>812</v>
      </c>
      <c r="E4" s="114" t="s">
        <v>813</v>
      </c>
    </row>
    <row r="5" spans="2:5" ht="15.75">
      <c r="B5" s="413" t="str">
        <f>inputPrYr!B17</f>
        <v>General</v>
      </c>
      <c r="C5" s="386" t="str">
        <f>CONCATENATE("Actual for ",E1-2,"")</f>
        <v>Actual for -2</v>
      </c>
      <c r="D5" s="386" t="str">
        <f>CONCATENATE("Estimate for ",E1-1,"")</f>
        <v>Estimate for -1</v>
      </c>
      <c r="E5" s="244" t="str">
        <f>CONCATENATE("Year for ",E1,"")</f>
        <v>Year for 0</v>
      </c>
    </row>
    <row r="6" spans="2:5" ht="15.75">
      <c r="B6" s="245" t="s">
        <v>194</v>
      </c>
      <c r="C6" s="247"/>
      <c r="D6" s="385">
        <f>C118</f>
        <v>0</v>
      </c>
      <c r="E6" s="209">
        <f>D118</f>
        <v>0</v>
      </c>
    </row>
    <row r="7" spans="2:5" ht="15.75">
      <c r="B7" s="234" t="s">
        <v>196</v>
      </c>
      <c r="C7" s="132"/>
      <c r="D7" s="132"/>
      <c r="E7" s="81"/>
    </row>
    <row r="8" spans="2:5" ht="15.75">
      <c r="B8" s="245" t="s">
        <v>50</v>
      </c>
      <c r="C8" s="247"/>
      <c r="D8" s="385">
        <f>IF(inputPrYr!H16&gt;0,inputPrYr!H16,inputPrYr!E17)</f>
        <v>0</v>
      </c>
      <c r="E8" s="155" t="s">
        <v>35</v>
      </c>
    </row>
    <row r="9" spans="2:5" ht="15.75">
      <c r="B9" s="245" t="s">
        <v>51</v>
      </c>
      <c r="C9" s="247"/>
      <c r="D9" s="247"/>
      <c r="E9" s="248"/>
    </row>
    <row r="10" spans="2:5" ht="15.75">
      <c r="B10" s="245" t="s">
        <v>52</v>
      </c>
      <c r="C10" s="247"/>
      <c r="D10" s="247"/>
      <c r="E10" s="209">
        <f>mvalloc!E10</f>
        <v>0</v>
      </c>
    </row>
    <row r="11" spans="2:5" ht="15.75">
      <c r="B11" s="245" t="s">
        <v>53</v>
      </c>
      <c r="C11" s="247"/>
      <c r="D11" s="247"/>
      <c r="E11" s="209">
        <f>mvalloc!F10</f>
        <v>0</v>
      </c>
    </row>
    <row r="12" spans="2:5" ht="15.75">
      <c r="B12" s="132" t="s">
        <v>185</v>
      </c>
      <c r="C12" s="247"/>
      <c r="D12" s="247"/>
      <c r="E12" s="209">
        <f>mvalloc!G10</f>
        <v>0</v>
      </c>
    </row>
    <row r="13" spans="2:5" ht="15.75">
      <c r="B13" s="273" t="s">
        <v>955</v>
      </c>
      <c r="C13" s="247"/>
      <c r="D13" s="247"/>
      <c r="E13" s="209">
        <f>mvalloc!H10</f>
        <v>0</v>
      </c>
    </row>
    <row r="14" spans="2:5" ht="15.75">
      <c r="B14" s="273" t="s">
        <v>956</v>
      </c>
      <c r="C14" s="247"/>
      <c r="D14" s="247"/>
      <c r="E14" s="209">
        <f>mvalloc!I10</f>
        <v>0</v>
      </c>
    </row>
    <row r="15" spans="2:5" ht="15.75">
      <c r="B15" s="245" t="s">
        <v>187</v>
      </c>
      <c r="C15" s="247"/>
      <c r="D15" s="247"/>
      <c r="E15" s="209">
        <f>inputOth!E10</f>
        <v>0</v>
      </c>
    </row>
    <row r="16" spans="2:5" ht="15.75">
      <c r="B16" s="245" t="s">
        <v>233</v>
      </c>
      <c r="C16" s="247"/>
      <c r="D16" s="247"/>
      <c r="E16" s="209">
        <f>inputOth!E19</f>
        <v>0</v>
      </c>
    </row>
    <row r="17" spans="2:5" ht="15.75">
      <c r="B17" s="245" t="s">
        <v>234</v>
      </c>
      <c r="C17" s="247"/>
      <c r="D17" s="247"/>
      <c r="E17" s="209">
        <f>inputOth!E20</f>
        <v>0</v>
      </c>
    </row>
    <row r="18" spans="2:5" ht="15.75">
      <c r="B18" s="247" t="s">
        <v>56</v>
      </c>
      <c r="C18" s="247"/>
      <c r="D18" s="247"/>
      <c r="E18" s="248"/>
    </row>
    <row r="19" spans="2:5" ht="15.75">
      <c r="B19" s="247" t="s">
        <v>54</v>
      </c>
      <c r="C19" s="247"/>
      <c r="D19" s="247"/>
      <c r="E19" s="248"/>
    </row>
    <row r="20" spans="2:5" ht="15.75">
      <c r="B20" s="247" t="s">
        <v>671</v>
      </c>
      <c r="C20" s="247"/>
      <c r="D20" s="247"/>
      <c r="E20" s="248"/>
    </row>
    <row r="21" spans="2:5" ht="15.75">
      <c r="B21" s="249" t="s">
        <v>672</v>
      </c>
      <c r="C21" s="247"/>
      <c r="D21" s="247"/>
      <c r="E21" s="248"/>
    </row>
    <row r="22" spans="2:5" ht="15.75">
      <c r="B22" s="249"/>
      <c r="C22" s="247"/>
      <c r="D22" s="247"/>
      <c r="E22" s="248"/>
    </row>
    <row r="23" spans="2:5" ht="15.75">
      <c r="B23" s="249"/>
      <c r="C23" s="247"/>
      <c r="D23" s="247"/>
      <c r="E23" s="248"/>
    </row>
    <row r="24" spans="2:5" ht="15.75">
      <c r="B24" s="247"/>
      <c r="C24" s="247"/>
      <c r="D24" s="247"/>
      <c r="E24" s="248"/>
    </row>
    <row r="25" spans="2:5" ht="15.75">
      <c r="B25" s="247"/>
      <c r="C25" s="247"/>
      <c r="D25" s="247"/>
      <c r="E25" s="248"/>
    </row>
    <row r="26" spans="2:5" ht="15.75">
      <c r="B26" s="247"/>
      <c r="C26" s="247"/>
      <c r="D26" s="247"/>
      <c r="E26" s="248"/>
    </row>
    <row r="27" spans="2:5" ht="15.75">
      <c r="B27" s="247"/>
      <c r="C27" s="247"/>
      <c r="D27" s="247"/>
      <c r="E27" s="248"/>
    </row>
    <row r="28" spans="2:5" ht="15.75">
      <c r="B28" s="247"/>
      <c r="C28" s="247"/>
      <c r="D28" s="247"/>
      <c r="E28" s="248"/>
    </row>
    <row r="29" spans="2:5" ht="15.75">
      <c r="B29" s="247"/>
      <c r="C29" s="247"/>
      <c r="D29" s="247"/>
      <c r="E29" s="248"/>
    </row>
    <row r="30" spans="2:5" ht="15.75">
      <c r="B30" s="247"/>
      <c r="C30" s="247"/>
      <c r="D30" s="247"/>
      <c r="E30" s="248"/>
    </row>
    <row r="31" spans="2:5" ht="15.75">
      <c r="B31" s="247"/>
      <c r="C31" s="247"/>
      <c r="D31" s="247"/>
      <c r="E31" s="248"/>
    </row>
    <row r="32" spans="2:5" ht="15.75">
      <c r="B32" s="247"/>
      <c r="C32" s="247"/>
      <c r="D32" s="247"/>
      <c r="E32" s="248"/>
    </row>
    <row r="33" spans="2:5" ht="15.75">
      <c r="B33" s="247"/>
      <c r="C33" s="247"/>
      <c r="D33" s="247"/>
      <c r="E33" s="248"/>
    </row>
    <row r="34" spans="2:5" ht="15.75">
      <c r="B34" s="247"/>
      <c r="C34" s="247"/>
      <c r="D34" s="247"/>
      <c r="E34" s="248"/>
    </row>
    <row r="35" spans="2:5" ht="15.75">
      <c r="B35" s="247"/>
      <c r="C35" s="247"/>
      <c r="D35" s="247"/>
      <c r="E35" s="248"/>
    </row>
    <row r="36" spans="2:5" ht="15.75">
      <c r="B36" s="247"/>
      <c r="C36" s="247"/>
      <c r="D36" s="247"/>
      <c r="E36" s="248"/>
    </row>
    <row r="37" spans="2:5" ht="15.75">
      <c r="B37" s="247"/>
      <c r="C37" s="247"/>
      <c r="D37" s="247"/>
      <c r="E37" s="248"/>
    </row>
    <row r="38" spans="2:5" ht="15.75">
      <c r="B38" s="247"/>
      <c r="C38" s="247"/>
      <c r="D38" s="247"/>
      <c r="E38" s="248"/>
    </row>
    <row r="39" spans="2:5" ht="15.75">
      <c r="B39" s="247"/>
      <c r="C39" s="247"/>
      <c r="D39" s="247"/>
      <c r="E39" s="248"/>
    </row>
    <row r="40" spans="2:5" ht="15.75">
      <c r="B40" s="247"/>
      <c r="C40" s="247"/>
      <c r="D40" s="247"/>
      <c r="E40" s="248"/>
    </row>
    <row r="41" spans="2:5" ht="15.75">
      <c r="B41" s="247"/>
      <c r="C41" s="247"/>
      <c r="D41" s="247"/>
      <c r="E41" s="248"/>
    </row>
    <row r="42" spans="2:5" ht="15.75">
      <c r="B42" s="247"/>
      <c r="C42" s="247"/>
      <c r="D42" s="247"/>
      <c r="E42" s="248"/>
    </row>
    <row r="43" spans="2:5" ht="15.75">
      <c r="B43" s="247"/>
      <c r="C43" s="247"/>
      <c r="D43" s="247"/>
      <c r="E43" s="248"/>
    </row>
    <row r="44" spans="2:5" ht="15.75">
      <c r="B44" s="247"/>
      <c r="C44" s="247"/>
      <c r="D44" s="247"/>
      <c r="E44" s="248"/>
    </row>
    <row r="45" spans="2:5" ht="15.75">
      <c r="B45" s="247"/>
      <c r="C45" s="247"/>
      <c r="D45" s="247"/>
      <c r="E45" s="248"/>
    </row>
    <row r="46" spans="2:5" ht="15.75">
      <c r="B46" s="247"/>
      <c r="C46" s="247"/>
      <c r="D46" s="247"/>
      <c r="E46" s="248"/>
    </row>
    <row r="47" spans="2:5" ht="15.75">
      <c r="B47" s="247"/>
      <c r="C47" s="247"/>
      <c r="D47" s="247"/>
      <c r="E47" s="248"/>
    </row>
    <row r="48" spans="2:5" ht="15.75">
      <c r="B48" s="247"/>
      <c r="C48" s="247"/>
      <c r="D48" s="247"/>
      <c r="E48" s="248"/>
    </row>
    <row r="49" spans="2:5" ht="15.75">
      <c r="B49" s="247"/>
      <c r="C49" s="247"/>
      <c r="D49" s="247"/>
      <c r="E49" s="248"/>
    </row>
    <row r="50" spans="2:5" ht="15.75">
      <c r="B50" s="247"/>
      <c r="C50" s="247"/>
      <c r="D50" s="247"/>
      <c r="E50" s="248"/>
    </row>
    <row r="51" spans="2:5" ht="15.75">
      <c r="B51" s="247"/>
      <c r="C51" s="247"/>
      <c r="D51" s="247"/>
      <c r="E51" s="248"/>
    </row>
    <row r="52" spans="2:5" ht="15.75">
      <c r="B52" s="247" t="s">
        <v>55</v>
      </c>
      <c r="C52" s="247"/>
      <c r="D52" s="247"/>
      <c r="E52" s="248"/>
    </row>
    <row r="53" spans="2:5" ht="15.75">
      <c r="B53" s="249" t="s">
        <v>57</v>
      </c>
      <c r="C53" s="247"/>
      <c r="D53" s="247"/>
      <c r="E53" s="248"/>
    </row>
    <row r="54" spans="2:5" ht="15.75">
      <c r="B54" s="250" t="s">
        <v>297</v>
      </c>
      <c r="C54" s="247"/>
      <c r="D54" s="247"/>
      <c r="E54" s="280">
        <f>Nhood!E6*-1</f>
        <v>0</v>
      </c>
    </row>
    <row r="55" spans="2:5" ht="15.75">
      <c r="B55" s="250" t="s">
        <v>298</v>
      </c>
      <c r="C55" s="247"/>
      <c r="D55" s="247"/>
      <c r="E55" s="248"/>
    </row>
    <row r="56" spans="2:5" ht="15.75">
      <c r="B56" s="250" t="s">
        <v>673</v>
      </c>
      <c r="C56" s="384">
        <f>IF(C57*0.1&lt;C55,"Exceed 10% Rule","")</f>
      </c>
      <c r="D56" s="384">
        <f>IF(D57*0.1&lt;D55,"Exceed 10% Rule","")</f>
      </c>
      <c r="E56" s="277">
        <f>IF(E57*0.1+E124&lt;E55,"Exceed 10% Rule","")</f>
      </c>
    </row>
    <row r="57" spans="2:5" ht="15.75">
      <c r="B57" s="252" t="s">
        <v>58</v>
      </c>
      <c r="C57" s="388">
        <f>SUM(C8:C55)</f>
        <v>0</v>
      </c>
      <c r="D57" s="388">
        <f>SUM(D8:D55)</f>
        <v>0</v>
      </c>
      <c r="E57" s="296">
        <f>SUM(E9:E55)</f>
        <v>0</v>
      </c>
    </row>
    <row r="58" spans="2:5" ht="15.75">
      <c r="B58" s="252" t="s">
        <v>59</v>
      </c>
      <c r="C58" s="388">
        <f>C6+C57</f>
        <v>0</v>
      </c>
      <c r="D58" s="388">
        <f>D6+D57</f>
        <v>0</v>
      </c>
      <c r="E58" s="296">
        <f>E6+E57</f>
        <v>0</v>
      </c>
    </row>
    <row r="59" spans="2:5" ht="15.75">
      <c r="B59" s="45"/>
      <c r="C59" s="160"/>
      <c r="D59" s="160"/>
      <c r="E59" s="160"/>
    </row>
    <row r="60" spans="2:5" ht="15.75">
      <c r="B60" s="853" t="s">
        <v>209</v>
      </c>
      <c r="C60" s="853"/>
      <c r="D60" s="853"/>
      <c r="E60" s="853"/>
    </row>
    <row r="61" spans="2:5" ht="15.75">
      <c r="B61" s="160">
        <f>inputPrYr!C3</f>
        <v>0</v>
      </c>
      <c r="C61" s="160"/>
      <c r="D61" s="160"/>
      <c r="E61" s="230">
        <f>E1</f>
        <v>0</v>
      </c>
    </row>
    <row r="62" spans="2:5" ht="15.75">
      <c r="B62" s="45"/>
      <c r="C62" s="160"/>
      <c r="D62" s="160"/>
      <c r="E62" s="79"/>
    </row>
    <row r="63" spans="2:5" ht="15.75">
      <c r="B63" s="254" t="s">
        <v>159</v>
      </c>
      <c r="C63" s="255"/>
      <c r="D63" s="255"/>
      <c r="E63" s="255"/>
    </row>
    <row r="64" spans="2:5" ht="15.75">
      <c r="B64" s="45" t="s">
        <v>49</v>
      </c>
      <c r="C64" s="449" t="str">
        <f aca="true" t="shared" si="0" ref="C64:E65">C4</f>
        <v>Prior Year </v>
      </c>
      <c r="D64" s="450" t="str">
        <f t="shared" si="0"/>
        <v>Current Year </v>
      </c>
      <c r="E64" s="448" t="str">
        <f t="shared" si="0"/>
        <v>Proposed Budget </v>
      </c>
    </row>
    <row r="65" spans="2:5" ht="15.75">
      <c r="B65" s="68" t="s">
        <v>61</v>
      </c>
      <c r="C65" s="386" t="str">
        <f t="shared" si="0"/>
        <v>Actual for -2</v>
      </c>
      <c r="D65" s="386" t="str">
        <f t="shared" si="0"/>
        <v>Estimate for -1</v>
      </c>
      <c r="E65" s="256" t="str">
        <f t="shared" si="0"/>
        <v>Year for 0</v>
      </c>
    </row>
    <row r="66" spans="2:5" ht="15.75">
      <c r="B66" s="252" t="s">
        <v>59</v>
      </c>
      <c r="C66" s="385">
        <f>C58</f>
        <v>0</v>
      </c>
      <c r="D66" s="385">
        <f>D58</f>
        <v>0</v>
      </c>
      <c r="E66" s="209">
        <f>E58</f>
        <v>0</v>
      </c>
    </row>
    <row r="67" spans="2:5" ht="15.75">
      <c r="B67" s="245" t="s">
        <v>62</v>
      </c>
      <c r="C67" s="132"/>
      <c r="D67" s="132"/>
      <c r="E67" s="81"/>
    </row>
    <row r="68" spans="2:5" ht="15.75">
      <c r="B68" s="132" t="str">
        <f>'gen-detail'!B7</f>
        <v>General Administration</v>
      </c>
      <c r="C68" s="385">
        <f>'gen-detail'!C13</f>
        <v>0</v>
      </c>
      <c r="D68" s="385">
        <f>'gen-detail'!D13</f>
        <v>0</v>
      </c>
      <c r="E68" s="209">
        <f>'gen-detail'!E13</f>
        <v>0</v>
      </c>
    </row>
    <row r="69" spans="2:5" ht="15.75">
      <c r="B69" s="132" t="str">
        <f>'gen-detail'!B14</f>
        <v>Airport</v>
      </c>
      <c r="C69" s="385">
        <f>'gen-detail'!C19</f>
        <v>0</v>
      </c>
      <c r="D69" s="385">
        <f>'gen-detail'!D19</f>
        <v>0</v>
      </c>
      <c r="E69" s="209">
        <f>'gen-detail'!E19</f>
        <v>0</v>
      </c>
    </row>
    <row r="70" spans="2:5" ht="15.75">
      <c r="B70" s="132" t="str">
        <f>'gen-detail'!B20</f>
        <v>Alcohol &amp; Drug Abuse</v>
      </c>
      <c r="C70" s="385">
        <f>'gen-detail'!C25</f>
        <v>0</v>
      </c>
      <c r="D70" s="385">
        <f>'gen-detail'!D25</f>
        <v>0</v>
      </c>
      <c r="E70" s="209">
        <f>'gen-detail'!E25</f>
        <v>0</v>
      </c>
    </row>
    <row r="71" spans="2:5" ht="15.75">
      <c r="B71" s="132" t="str">
        <f>'gen-detail'!B26</f>
        <v>Ambulance</v>
      </c>
      <c r="C71" s="385">
        <f>'gen-detail'!C31</f>
        <v>0</v>
      </c>
      <c r="D71" s="385">
        <f>'gen-detail'!D31</f>
        <v>0</v>
      </c>
      <c r="E71" s="209">
        <f>'gen-detail'!E31</f>
        <v>0</v>
      </c>
    </row>
    <row r="72" spans="2:5" ht="15.75">
      <c r="B72" s="132" t="str">
        <f>'gen-detail'!B32</f>
        <v>Animal Control</v>
      </c>
      <c r="C72" s="385">
        <f>'gen-detail'!C37</f>
        <v>0</v>
      </c>
      <c r="D72" s="385">
        <f>'gen-detail'!D37</f>
        <v>0</v>
      </c>
      <c r="E72" s="209">
        <f>'gen-detail'!E37</f>
        <v>0</v>
      </c>
    </row>
    <row r="73" spans="2:5" ht="15.75">
      <c r="B73" s="132" t="str">
        <f>'gen-detail'!B38</f>
        <v>Appraisal</v>
      </c>
      <c r="C73" s="385">
        <f>'gen-detail'!C43</f>
        <v>0</v>
      </c>
      <c r="D73" s="385">
        <f>'gen-detail'!D43</f>
        <v>0</v>
      </c>
      <c r="E73" s="209">
        <f>'gen-detail'!E43</f>
        <v>0</v>
      </c>
    </row>
    <row r="74" spans="2:5" ht="15.75">
      <c r="B74" s="132" t="str">
        <f>'gen-detail'!B44</f>
        <v>Building</v>
      </c>
      <c r="C74" s="385">
        <f>'gen-detail'!C49</f>
        <v>0</v>
      </c>
      <c r="D74" s="385">
        <f>'gen-detail'!D49</f>
        <v>0</v>
      </c>
      <c r="E74" s="209">
        <f>'gen-detail'!E49</f>
        <v>0</v>
      </c>
    </row>
    <row r="75" spans="2:5" ht="15.75">
      <c r="B75" s="132" t="str">
        <f>'gen-detail'!B50</f>
        <v>County Attorney/Counselor</v>
      </c>
      <c r="C75" s="385">
        <f>'gen-detail'!C55</f>
        <v>0</v>
      </c>
      <c r="D75" s="385">
        <f>'gen-detail'!D55</f>
        <v>0</v>
      </c>
      <c r="E75" s="209">
        <f>'gen-detail'!E55</f>
        <v>0</v>
      </c>
    </row>
    <row r="76" spans="2:5" ht="15.75">
      <c r="B76" s="132" t="str">
        <f>'gen-detail'!B67</f>
        <v>County Clerk</v>
      </c>
      <c r="C76" s="385">
        <f>'gen-detail'!C72</f>
        <v>0</v>
      </c>
      <c r="D76" s="385">
        <f>'gen-detail'!D72</f>
        <v>0</v>
      </c>
      <c r="E76" s="209">
        <f>'gen-detail'!E72</f>
        <v>0</v>
      </c>
    </row>
    <row r="77" spans="2:5" ht="15.75">
      <c r="B77" s="132" t="str">
        <f>'gen-detail'!B73</f>
        <v>County Commission</v>
      </c>
      <c r="C77" s="385">
        <f>'gen-detail'!C78</f>
        <v>0</v>
      </c>
      <c r="D77" s="385">
        <f>'gen-detail'!D78</f>
        <v>0</v>
      </c>
      <c r="E77" s="209">
        <f>'gen-detail'!E78</f>
        <v>0</v>
      </c>
    </row>
    <row r="78" spans="2:5" ht="15.75">
      <c r="B78" s="132" t="str">
        <f>'gen-detail'!B79</f>
        <v>County Treasurer</v>
      </c>
      <c r="C78" s="385">
        <f>'gen-detail'!C84</f>
        <v>0</v>
      </c>
      <c r="D78" s="385">
        <f>'gen-detail'!D84</f>
        <v>0</v>
      </c>
      <c r="E78" s="209">
        <f>'gen-detail'!E84</f>
        <v>0</v>
      </c>
    </row>
    <row r="79" spans="2:5" ht="15.75">
      <c r="B79" s="132" t="str">
        <f>'gen-detail'!B85</f>
        <v>Debt Service</v>
      </c>
      <c r="C79" s="385">
        <f>'gen-detail'!C90</f>
        <v>0</v>
      </c>
      <c r="D79" s="385">
        <f>'gen-detail'!D90</f>
        <v>0</v>
      </c>
      <c r="E79" s="209">
        <f>'gen-detail'!E90</f>
        <v>0</v>
      </c>
    </row>
    <row r="80" spans="2:5" ht="15.75">
      <c r="B80" s="132" t="str">
        <f>'gen-detail'!B91</f>
        <v>District Court</v>
      </c>
      <c r="C80" s="385">
        <f>'gen-detail'!C96</f>
        <v>0</v>
      </c>
      <c r="D80" s="385">
        <f>'gen-detail'!D96</f>
        <v>0</v>
      </c>
      <c r="E80" s="209">
        <f>'gen-detail'!E96</f>
        <v>0</v>
      </c>
    </row>
    <row r="81" spans="2:5" ht="15.75">
      <c r="B81" s="132" t="str">
        <f>'gen-detail'!B97</f>
        <v>Economic Development</v>
      </c>
      <c r="C81" s="385">
        <f>'gen-detail'!C102</f>
        <v>0</v>
      </c>
      <c r="D81" s="385">
        <f>'gen-detail'!D102</f>
        <v>0</v>
      </c>
      <c r="E81" s="209">
        <f>'gen-detail'!E102</f>
        <v>0</v>
      </c>
    </row>
    <row r="82" spans="2:5" ht="15.75">
      <c r="B82" s="132" t="str">
        <f>'gen-detail'!B103</f>
        <v>Election</v>
      </c>
      <c r="C82" s="385">
        <f>'gen-detail'!C108</f>
        <v>0</v>
      </c>
      <c r="D82" s="385">
        <f>'gen-detail'!D108</f>
        <v>0</v>
      </c>
      <c r="E82" s="209">
        <f>'gen-detail'!E108</f>
        <v>0</v>
      </c>
    </row>
    <row r="83" spans="2:5" ht="15.75">
      <c r="B83" s="132" t="str">
        <f>'gen-detail'!B109</f>
        <v>Emergency Services</v>
      </c>
      <c r="C83" s="385">
        <f>'gen-detail'!C114</f>
        <v>0</v>
      </c>
      <c r="D83" s="385">
        <f>'gen-detail'!D114</f>
        <v>0</v>
      </c>
      <c r="E83" s="209">
        <f>'gen-detail'!E114</f>
        <v>0</v>
      </c>
    </row>
    <row r="84" spans="2:5" ht="15.75">
      <c r="B84" s="132" t="str">
        <f>'gen-detail'!B125</f>
        <v>Employee Benefits</v>
      </c>
      <c r="C84" s="385">
        <f>'gen-detail'!C132</f>
        <v>0</v>
      </c>
      <c r="D84" s="385">
        <f>'gen-detail'!D132</f>
        <v>0</v>
      </c>
      <c r="E84" s="209">
        <f>'gen-detail'!E132</f>
        <v>0</v>
      </c>
    </row>
    <row r="85" spans="2:5" ht="15.75">
      <c r="B85" s="132" t="str">
        <f>'gen-detail'!B133</f>
        <v>Extension Council</v>
      </c>
      <c r="C85" s="385">
        <f>'gen-detail'!C138</f>
        <v>0</v>
      </c>
      <c r="D85" s="385">
        <f>'gen-detail'!D138</f>
        <v>0</v>
      </c>
      <c r="E85" s="209">
        <f>'gen-detail'!E138</f>
        <v>0</v>
      </c>
    </row>
    <row r="86" spans="2:5" ht="15.75">
      <c r="B86" s="132" t="str">
        <f>'gen-detail'!B139</f>
        <v>Fair</v>
      </c>
      <c r="C86" s="385">
        <f>'gen-detail'!C144</f>
        <v>0</v>
      </c>
      <c r="D86" s="385">
        <f>'gen-detail'!D144</f>
        <v>0</v>
      </c>
      <c r="E86" s="209">
        <f>'gen-detail'!E144</f>
        <v>0</v>
      </c>
    </row>
    <row r="87" spans="2:5" ht="15.75">
      <c r="B87" s="132" t="str">
        <f>'gen-detail'!B145</f>
        <v>Fire</v>
      </c>
      <c r="C87" s="385">
        <f>'gen-detail'!C150</f>
        <v>0</v>
      </c>
      <c r="D87" s="385">
        <f>'gen-detail'!D150</f>
        <v>0</v>
      </c>
      <c r="E87" s="209">
        <f>'gen-detail'!E150</f>
        <v>0</v>
      </c>
    </row>
    <row r="88" spans="2:5" ht="15.75">
      <c r="B88" s="132" t="str">
        <f>'gen-detail'!B151</f>
        <v>Health</v>
      </c>
      <c r="C88" s="385">
        <f>'gen-detail'!C156</f>
        <v>0</v>
      </c>
      <c r="D88" s="385">
        <f>'gen-detail'!D156</f>
        <v>0</v>
      </c>
      <c r="E88" s="209">
        <f>'gen-detail'!E156</f>
        <v>0</v>
      </c>
    </row>
    <row r="89" spans="2:5" ht="15.75">
      <c r="B89" s="132" t="str">
        <f>'gen-detail'!B157</f>
        <v>Historical</v>
      </c>
      <c r="C89" s="385">
        <f>'gen-detail'!C162</f>
        <v>0</v>
      </c>
      <c r="D89" s="385">
        <f>'gen-detail'!D162</f>
        <v>0</v>
      </c>
      <c r="E89" s="209">
        <f>'gen-detail'!E162</f>
        <v>0</v>
      </c>
    </row>
    <row r="90" spans="2:5" ht="15.75">
      <c r="B90" s="132" t="str">
        <f>'gen-detail'!B163</f>
        <v>Hospital</v>
      </c>
      <c r="C90" s="385">
        <f>'gen-detail'!C168</f>
        <v>0</v>
      </c>
      <c r="D90" s="385">
        <f>'gen-detail'!D168</f>
        <v>0</v>
      </c>
      <c r="E90" s="209">
        <f>'gen-detail'!E168</f>
        <v>0</v>
      </c>
    </row>
    <row r="91" spans="2:5" ht="15.75">
      <c r="B91" s="132" t="str">
        <f>'gen-detail'!B169</f>
        <v>Juvenile Detention</v>
      </c>
      <c r="C91" s="385">
        <f>'gen-detail'!C174</f>
        <v>0</v>
      </c>
      <c r="D91" s="385">
        <f>'gen-detail'!D174</f>
        <v>0</v>
      </c>
      <c r="E91" s="209">
        <f>'gen-detail'!E174</f>
        <v>0</v>
      </c>
    </row>
    <row r="92" spans="2:5" ht="15.75">
      <c r="B92" s="132" t="str">
        <f>'gen-detail'!B185</f>
        <v>Law Enforcement</v>
      </c>
      <c r="C92" s="385">
        <f>'gen-detail'!C190</f>
        <v>0</v>
      </c>
      <c r="D92" s="385">
        <f>'gen-detail'!D190</f>
        <v>0</v>
      </c>
      <c r="E92" s="209">
        <f>'gen-detail'!E190</f>
        <v>0</v>
      </c>
    </row>
    <row r="93" spans="2:5" ht="15.75">
      <c r="B93" s="132" t="str">
        <f>'gen-detail'!B191</f>
        <v>Library</v>
      </c>
      <c r="C93" s="385">
        <f>'gen-detail'!C196</f>
        <v>0</v>
      </c>
      <c r="D93" s="385">
        <f>'gen-detail'!D196</f>
        <v>0</v>
      </c>
      <c r="E93" s="209">
        <f>'gen-detail'!E196</f>
        <v>0</v>
      </c>
    </row>
    <row r="94" spans="2:5" ht="15.75">
      <c r="B94" s="132" t="str">
        <f>'gen-detail'!B197</f>
        <v>Memorial</v>
      </c>
      <c r="C94" s="385">
        <f>'gen-detail'!C202</f>
        <v>0</v>
      </c>
      <c r="D94" s="385">
        <f>'gen-detail'!D202</f>
        <v>0</v>
      </c>
      <c r="E94" s="209">
        <f>'gen-detail'!E202</f>
        <v>0</v>
      </c>
    </row>
    <row r="95" spans="2:5" ht="15.75">
      <c r="B95" s="132" t="str">
        <f>'gen-detail'!B203</f>
        <v>Mental Health</v>
      </c>
      <c r="C95" s="385">
        <f>'gen-detail'!C208</f>
        <v>0</v>
      </c>
      <c r="D95" s="385">
        <f>'gen-detail'!D208</f>
        <v>0</v>
      </c>
      <c r="E95" s="209">
        <f>'gen-detail'!E208</f>
        <v>0</v>
      </c>
    </row>
    <row r="96" spans="2:5" ht="15.75">
      <c r="B96" s="132" t="str">
        <f>'gen-detail'!B209</f>
        <v>Mental Retardation</v>
      </c>
      <c r="C96" s="385">
        <f>'gen-detail'!C214</f>
        <v>0</v>
      </c>
      <c r="D96" s="385">
        <f>'gen-detail'!D214</f>
        <v>0</v>
      </c>
      <c r="E96" s="209">
        <f>'gen-detail'!E214</f>
        <v>0</v>
      </c>
    </row>
    <row r="97" spans="2:5" ht="15.75">
      <c r="B97" s="132" t="str">
        <f>'gen-detail'!B215</f>
        <v>Noxious Weed Control</v>
      </c>
      <c r="C97" s="385">
        <f>'gen-detail'!C220</f>
        <v>0</v>
      </c>
      <c r="D97" s="385">
        <f>'gen-detail'!D220</f>
        <v>0</v>
      </c>
      <c r="E97" s="209">
        <f>'gen-detail'!E220</f>
        <v>0</v>
      </c>
    </row>
    <row r="98" spans="2:5" ht="15.75">
      <c r="B98" s="132" t="str">
        <f>'gen-detail'!B221</f>
        <v>Park &amp; Recreation</v>
      </c>
      <c r="C98" s="385">
        <f>'gen-detail'!C222</f>
        <v>0</v>
      </c>
      <c r="D98" s="385">
        <f>'gen-detail'!D222</f>
        <v>0</v>
      </c>
      <c r="E98" s="209">
        <f>'gen-detail'!E222</f>
        <v>0</v>
      </c>
    </row>
    <row r="99" spans="2:5" ht="15.75">
      <c r="B99" s="132" t="str">
        <f>'gen-detail'!B227</f>
        <v>Register of Deeds</v>
      </c>
      <c r="C99" s="385">
        <f>'gen-detail'!C232</f>
        <v>0</v>
      </c>
      <c r="D99" s="385">
        <f>'gen-detail'!D232</f>
        <v>0</v>
      </c>
      <c r="E99" s="209">
        <f>'gen-detail'!E232</f>
        <v>0</v>
      </c>
    </row>
    <row r="100" spans="2:10" ht="15.75">
      <c r="B100" s="132" t="str">
        <f>'gen-detail'!B233</f>
        <v>Road &amp; Bridge</v>
      </c>
      <c r="C100" s="385">
        <f>'gen-detail'!C238</f>
        <v>0</v>
      </c>
      <c r="D100" s="385">
        <f>'gen-detail'!D238</f>
        <v>0</v>
      </c>
      <c r="E100" s="209">
        <f>'gen-detail'!E238</f>
        <v>0</v>
      </c>
      <c r="G100" s="863" t="str">
        <f>CONCATENATE("Desired Carryover Into ",E1+1,"")</f>
        <v>Desired Carryover Into 1</v>
      </c>
      <c r="H100" s="864"/>
      <c r="I100" s="864"/>
      <c r="J100" s="833"/>
    </row>
    <row r="101" spans="2:10" ht="15.75">
      <c r="B101" s="132" t="str">
        <f>'gen-detail'!B249</f>
        <v>Services for the Aged</v>
      </c>
      <c r="C101" s="385">
        <f>'gen-detail'!C254</f>
        <v>0</v>
      </c>
      <c r="D101" s="385">
        <f>'gen-detail'!D254</f>
        <v>0</v>
      </c>
      <c r="E101" s="209">
        <f>'gen-detail'!E254</f>
        <v>0</v>
      </c>
      <c r="G101" s="567"/>
      <c r="H101" s="568"/>
      <c r="I101" s="569"/>
      <c r="J101" s="570"/>
    </row>
    <row r="102" spans="2:10" ht="15.75">
      <c r="B102" s="132" t="str">
        <f>'gen-detail'!B255</f>
        <v>Soil Conservation</v>
      </c>
      <c r="C102" s="385">
        <f>'gen-detail'!C260</f>
        <v>0</v>
      </c>
      <c r="D102" s="385">
        <f>'gen-detail'!D260</f>
        <v>0</v>
      </c>
      <c r="E102" s="209">
        <f>'gen-detail'!E260</f>
        <v>0</v>
      </c>
      <c r="G102" s="571" t="s">
        <v>683</v>
      </c>
      <c r="H102" s="569"/>
      <c r="I102" s="569"/>
      <c r="J102" s="572">
        <v>0</v>
      </c>
    </row>
    <row r="103" spans="2:10" ht="15.75">
      <c r="B103" s="132" t="str">
        <f>'gen-detail'!B261</f>
        <v>Solid Waste</v>
      </c>
      <c r="C103" s="385">
        <f>'gen-detail'!C266</f>
        <v>0</v>
      </c>
      <c r="D103" s="385">
        <f>'gen-detail'!D266</f>
        <v>0</v>
      </c>
      <c r="E103" s="209">
        <f>'gen-detail'!E266</f>
        <v>0</v>
      </c>
      <c r="G103" s="567" t="s">
        <v>684</v>
      </c>
      <c r="H103" s="568"/>
      <c r="I103" s="568"/>
      <c r="J103" s="573">
        <f>IF(J102=0,"",ROUND((J102+E124-G115)/inputOth!E5*1000,3)-G120)</f>
      </c>
    </row>
    <row r="104" spans="2:10" ht="15.75">
      <c r="B104" s="132" t="str">
        <f>'gen-detail'!B267</f>
        <v>Cultural</v>
      </c>
      <c r="C104" s="385">
        <f>'gen-detail'!C272</f>
        <v>0</v>
      </c>
      <c r="D104" s="385">
        <f>'gen-detail'!D272</f>
        <v>0</v>
      </c>
      <c r="E104" s="209">
        <f>'gen-detail'!E272</f>
        <v>0</v>
      </c>
      <c r="G104" s="574" t="str">
        <f>CONCATENATE("",E1," Tot Exp/Non-Appr Must Be:")</f>
        <v>0 Tot Exp/Non-Appr Must Be:</v>
      </c>
      <c r="H104" s="575"/>
      <c r="I104" s="576"/>
      <c r="J104" s="577">
        <f>IF(J102&gt;0,IF(E121&lt;E58,IF(J102=G115,E121,((J102-G115)*(1-D123))+E58),E121+(J102-G115)),0)</f>
        <v>0</v>
      </c>
    </row>
    <row r="105" spans="2:10" ht="15.75">
      <c r="B105" s="132" t="str">
        <f>'gen-detail'!B273</f>
        <v>Tort Liability</v>
      </c>
      <c r="C105" s="385">
        <f>'gen-detail'!C276</f>
        <v>0</v>
      </c>
      <c r="D105" s="385">
        <f>'gen-detail'!D276</f>
        <v>0</v>
      </c>
      <c r="E105" s="209">
        <f>'gen-detail'!E276</f>
        <v>0</v>
      </c>
      <c r="G105" s="578" t="s">
        <v>814</v>
      </c>
      <c r="H105" s="579"/>
      <c r="I105" s="579"/>
      <c r="J105" s="580">
        <f>IF(J102&gt;0,J104-E121,0)</f>
        <v>0</v>
      </c>
    </row>
    <row r="106" spans="2:5" ht="15.75">
      <c r="B106" s="132">
        <f>'gen-detail'!B277</f>
        <v>0</v>
      </c>
      <c r="C106" s="385">
        <f>'gen-detail'!C282</f>
        <v>0</v>
      </c>
      <c r="D106" s="385">
        <f>'gen-detail'!D282</f>
        <v>0</v>
      </c>
      <c r="E106" s="209">
        <f>'gen-detail'!E282</f>
        <v>0</v>
      </c>
    </row>
    <row r="107" spans="2:10" ht="15.75">
      <c r="B107" s="132">
        <f>'gen-detail'!B283</f>
        <v>0</v>
      </c>
      <c r="C107" s="385">
        <f>'gen-detail'!C288</f>
        <v>0</v>
      </c>
      <c r="D107" s="385">
        <f>'gen-detail'!D288</f>
        <v>0</v>
      </c>
      <c r="E107" s="209">
        <f>'gen-detail'!E288</f>
        <v>0</v>
      </c>
      <c r="G107" s="850" t="str">
        <f>CONCATENATE("Projected Carryover Into ",E1+1,"")</f>
        <v>Projected Carryover Into 1</v>
      </c>
      <c r="H107" s="851"/>
      <c r="I107" s="851"/>
      <c r="J107" s="852"/>
    </row>
    <row r="108" spans="2:10" ht="15.75">
      <c r="B108" s="257" t="s">
        <v>261</v>
      </c>
      <c r="C108" s="396">
        <f>SUM(C68:C107)</f>
        <v>0</v>
      </c>
      <c r="D108" s="396">
        <f>SUM(D68:D107)</f>
        <v>0</v>
      </c>
      <c r="E108" s="282">
        <f>SUM(E68:E107)</f>
        <v>0</v>
      </c>
      <c r="G108" s="426"/>
      <c r="H108" s="425"/>
      <c r="I108" s="425"/>
      <c r="J108" s="427"/>
    </row>
    <row r="109" spans="2:10" ht="15.75">
      <c r="B109" s="259"/>
      <c r="C109" s="247"/>
      <c r="D109" s="247"/>
      <c r="E109" s="260"/>
      <c r="G109" s="428">
        <f>D118</f>
        <v>0</v>
      </c>
      <c r="H109" s="429" t="str">
        <f>CONCATENATE("",E1-1," Ending Cash Balance (est.)")</f>
        <v>-1 Ending Cash Balance (est.)</v>
      </c>
      <c r="I109" s="430"/>
      <c r="J109" s="427"/>
    </row>
    <row r="110" spans="2:10" ht="15.75">
      <c r="B110" s="261"/>
      <c r="C110" s="247"/>
      <c r="D110" s="247"/>
      <c r="E110" s="248"/>
      <c r="G110" s="428">
        <f>E57</f>
        <v>0</v>
      </c>
      <c r="H110" s="431" t="str">
        <f>CONCATENATE("",E1," Non-AV Receipts (est.)")</f>
        <v>0 Non-AV Receipts (est.)</v>
      </c>
      <c r="I110" s="430"/>
      <c r="J110" s="427"/>
    </row>
    <row r="111" spans="2:11" ht="15.75">
      <c r="B111" s="261"/>
      <c r="C111" s="247"/>
      <c r="D111" s="247"/>
      <c r="E111" s="248"/>
      <c r="G111" s="432">
        <f>IF(E123&gt;0,E122,E124)</f>
        <v>0</v>
      </c>
      <c r="H111" s="431" t="str">
        <f>CONCATENATE("",E1," Ad Valorem Tax (est.)")</f>
        <v>0 Ad Valorem Tax (est.)</v>
      </c>
      <c r="I111" s="430"/>
      <c r="J111" s="427"/>
      <c r="K111" s="622">
        <f>IF(G111=E124,"","Note: Does not include Delinquent Taxes")</f>
      </c>
    </row>
    <row r="112" spans="2:10" ht="15.75">
      <c r="B112" s="261"/>
      <c r="C112" s="247"/>
      <c r="D112" s="247"/>
      <c r="E112" s="248"/>
      <c r="G112" s="428">
        <f>SUM(G109:G111)</f>
        <v>0</v>
      </c>
      <c r="H112" s="431" t="str">
        <f>CONCATENATE("Total ",E1," Resources Available")</f>
        <v>Total 0 Resources Available</v>
      </c>
      <c r="I112" s="430"/>
      <c r="J112" s="427"/>
    </row>
    <row r="113" spans="2:10" ht="15.75">
      <c r="B113" s="261"/>
      <c r="C113" s="247"/>
      <c r="D113" s="247"/>
      <c r="E113" s="248"/>
      <c r="G113" s="433"/>
      <c r="H113" s="431"/>
      <c r="I113" s="431"/>
      <c r="J113" s="427"/>
    </row>
    <row r="114" spans="2:10" ht="15.75">
      <c r="B114" s="250" t="str">
        <f>CONCATENATE("Cash Forward (",E1," column)")</f>
        <v>Cash Forward (0 column)</v>
      </c>
      <c r="C114" s="247"/>
      <c r="D114" s="247"/>
      <c r="E114" s="248"/>
      <c r="G114" s="432">
        <f>C117*0.05+C117</f>
        <v>0</v>
      </c>
      <c r="H114" s="431" t="str">
        <f>CONCATENATE("Less ",E1-2," Expenditures + 5%")</f>
        <v>Less -2 Expenditures + 5%</v>
      </c>
      <c r="I114" s="430"/>
      <c r="J114" s="427"/>
    </row>
    <row r="115" spans="2:10" ht="15.75">
      <c r="B115" s="250" t="s">
        <v>298</v>
      </c>
      <c r="C115" s="411"/>
      <c r="D115" s="411"/>
      <c r="E115" s="66"/>
      <c r="G115" s="437">
        <f>G112-G114</f>
        <v>0</v>
      </c>
      <c r="H115" s="434" t="str">
        <f>CONCATENATE("Projected ",E1," Carryover (est.)")</f>
        <v>Projected 0 Carryover (est.)</v>
      </c>
      <c r="I115" s="435"/>
      <c r="J115" s="436"/>
    </row>
    <row r="116" spans="2:10" ht="15.75">
      <c r="B116" s="250" t="s">
        <v>674</v>
      </c>
      <c r="C116" s="384">
        <f>IF(C117*0.1&lt;C115,"Exceed 10% Rule","")</f>
      </c>
      <c r="D116" s="384">
        <f>IF(D117*0.1&lt;D115,"Exceed 10% Rule","")</f>
      </c>
      <c r="E116" s="277">
        <f>IF(E117*0.1&lt;E115,"Exceed 10% Rule","")</f>
      </c>
      <c r="G116" s="424"/>
      <c r="H116" s="424"/>
      <c r="I116" s="424"/>
      <c r="J116" s="424"/>
    </row>
    <row r="117" spans="2:10" ht="15.75">
      <c r="B117" s="252" t="s">
        <v>63</v>
      </c>
      <c r="C117" s="388">
        <f>SUM(C108:C115)</f>
        <v>0</v>
      </c>
      <c r="D117" s="388">
        <f>SUM(D108:D115)</f>
        <v>0</v>
      </c>
      <c r="E117" s="296">
        <f>SUM(E108:E115)</f>
        <v>0</v>
      </c>
      <c r="G117" s="860" t="s">
        <v>815</v>
      </c>
      <c r="H117" s="861"/>
      <c r="I117" s="861"/>
      <c r="J117" s="862"/>
    </row>
    <row r="118" spans="2:10" ht="15.75">
      <c r="B118" s="118" t="s">
        <v>195</v>
      </c>
      <c r="C118" s="383">
        <f>C58-C117</f>
        <v>0</v>
      </c>
      <c r="D118" s="383">
        <f>D58-D117</f>
        <v>0</v>
      </c>
      <c r="E118" s="155" t="s">
        <v>35</v>
      </c>
      <c r="G118" s="592"/>
      <c r="H118" s="584"/>
      <c r="I118" s="593"/>
      <c r="J118" s="594"/>
    </row>
    <row r="119" spans="2:10" ht="15.75">
      <c r="B119" s="146" t="str">
        <f>CONCATENATE("",E1-2,"/",E1-1,"/",E1," Budget Authority Amount:")</f>
        <v>-2/-1/0 Budget Authority Amount:</v>
      </c>
      <c r="C119" s="272">
        <f>inputOth!B31</f>
        <v>0</v>
      </c>
      <c r="D119" s="272">
        <f>inputPrYr!D17</f>
        <v>0</v>
      </c>
      <c r="E119" s="209">
        <f>E117</f>
        <v>0</v>
      </c>
      <c r="F119" s="263"/>
      <c r="G119" s="595" t="str">
        <f>summ!H16</f>
        <v>  </v>
      </c>
      <c r="H119" s="584" t="str">
        <f>CONCATENATE("",E1," Fund Mill Rate")</f>
        <v>0 Fund Mill Rate</v>
      </c>
      <c r="I119" s="593"/>
      <c r="J119" s="594"/>
    </row>
    <row r="120" spans="2:10" ht="15.75">
      <c r="B120" s="231"/>
      <c r="C120" s="856" t="s">
        <v>675</v>
      </c>
      <c r="D120" s="857"/>
      <c r="E120" s="66"/>
      <c r="F120" s="423">
        <f>IF(E117/0.95-E117&lt;E120,"Exceeds 5%","")</f>
      </c>
      <c r="G120" s="596" t="str">
        <f>summ!E16</f>
        <v>  </v>
      </c>
      <c r="H120" s="584" t="str">
        <f>CONCATENATE("",E1-1," Fund Mill Rate")</f>
        <v>-1 Fund Mill Rate</v>
      </c>
      <c r="I120" s="593"/>
      <c r="J120" s="594"/>
    </row>
    <row r="121" spans="2:10" ht="15.75">
      <c r="B121" s="417" t="str">
        <f>CONCATENATE(C135,"     ",D135)</f>
        <v>     </v>
      </c>
      <c r="C121" s="858" t="s">
        <v>676</v>
      </c>
      <c r="D121" s="859"/>
      <c r="E121" s="209">
        <f>E117+E120</f>
        <v>0</v>
      </c>
      <c r="G121" s="597">
        <f>summ!H52</f>
        <v>0</v>
      </c>
      <c r="H121" s="584" t="str">
        <f>CONCATENATE("Total ",E1," Mill Rate")</f>
        <v>Total 0 Mill Rate</v>
      </c>
      <c r="I121" s="593"/>
      <c r="J121" s="594"/>
    </row>
    <row r="122" spans="2:10" ht="15.75">
      <c r="B122" s="417" t="str">
        <f>CONCATENATE(C136,"     ",D136)</f>
        <v>     </v>
      </c>
      <c r="C122" s="264"/>
      <c r="D122" s="79" t="s">
        <v>64</v>
      </c>
      <c r="E122" s="70">
        <f>IF(E121-E58&gt;0,E121-E58,0)</f>
        <v>0</v>
      </c>
      <c r="G122" s="596">
        <f>summ!E52</f>
        <v>0</v>
      </c>
      <c r="H122" s="598" t="str">
        <f>CONCATENATE("Total ",E1-1," Mill Rate")</f>
        <v>Total -1 Mill Rate</v>
      </c>
      <c r="I122" s="599"/>
      <c r="J122" s="600"/>
    </row>
    <row r="123" spans="2:10" ht="15.75">
      <c r="B123" s="265"/>
      <c r="C123" s="402" t="s">
        <v>677</v>
      </c>
      <c r="D123" s="624">
        <f>inputOth!$E$24</f>
        <v>0</v>
      </c>
      <c r="E123" s="209">
        <f>IF(D123&gt;0,(E122*D123),0)</f>
        <v>0</v>
      </c>
      <c r="G123" s="613"/>
      <c r="H123" s="438"/>
      <c r="I123" s="612"/>
      <c r="J123" s="614"/>
    </row>
    <row r="124" spans="2:10" ht="15.75">
      <c r="B124" s="45"/>
      <c r="C124" s="854" t="str">
        <f>CONCATENATE("Amount of  ",$E$1-1," Ad Valorem Tax")</f>
        <v>Amount of  -1 Ad Valorem Tax</v>
      </c>
      <c r="D124" s="855"/>
      <c r="E124" s="282">
        <f>E122+E123</f>
        <v>0</v>
      </c>
      <c r="G124" s="741" t="s">
        <v>964</v>
      </c>
      <c r="H124" s="742"/>
      <c r="I124" s="744"/>
      <c r="J124" s="743" t="str">
        <f>cert!F62</f>
        <v>No</v>
      </c>
    </row>
    <row r="125" spans="2:10" ht="15.75">
      <c r="B125" s="45"/>
      <c r="C125" s="45"/>
      <c r="D125" s="45"/>
      <c r="E125" s="45"/>
      <c r="G125" s="745" t="str">
        <f>CONCATENATE("Computed ",E1," tax levy limit amount")</f>
        <v>Computed 0 tax levy limit amount</v>
      </c>
      <c r="H125" s="746"/>
      <c r="I125" s="746"/>
      <c r="J125" s="747">
        <f>computation!J42</f>
        <v>0</v>
      </c>
    </row>
    <row r="126" spans="2:10" ht="15.75">
      <c r="B126" s="853" t="s">
        <v>210</v>
      </c>
      <c r="C126" s="853"/>
      <c r="D126" s="853"/>
      <c r="E126" s="853"/>
      <c r="G126" s="748" t="str">
        <f>CONCATENATE("Total ",E1," tax levy amount")</f>
        <v>Total 0 tax levy amount</v>
      </c>
      <c r="H126" s="749"/>
      <c r="I126" s="749"/>
      <c r="J126" s="750">
        <f>summ!G52</f>
        <v>0</v>
      </c>
    </row>
    <row r="135" spans="3:4" ht="15.75" hidden="1">
      <c r="C135" s="31">
        <f>IF(C117&gt;C119,"See Tab A","")</f>
      </c>
      <c r="D135" s="31">
        <f>IF(D117&gt;D119,"See Tab C","")</f>
      </c>
    </row>
    <row r="136" spans="3:4" ht="15.75" hidden="1">
      <c r="C136" s="31">
        <f>IF(C118&lt;0,"See Tab B","")</f>
      </c>
      <c r="D136" s="31">
        <f>IF(D118&lt;0,"See Tab D","")</f>
      </c>
    </row>
  </sheetData>
  <sheetProtection sheet="1"/>
  <mergeCells count="8">
    <mergeCell ref="G107:J107"/>
    <mergeCell ref="B126:E126"/>
    <mergeCell ref="B60:E60"/>
    <mergeCell ref="C124:D124"/>
    <mergeCell ref="C120:D120"/>
    <mergeCell ref="C121:D121"/>
    <mergeCell ref="G117:J117"/>
    <mergeCell ref="G100:J100"/>
  </mergeCells>
  <conditionalFormatting sqref="E120">
    <cfRule type="cellIs" priority="2" dxfId="351" operator="greaterThan" stopIfTrue="1">
      <formula>$E$117/0.95-$E$117</formula>
    </cfRule>
  </conditionalFormatting>
  <conditionalFormatting sqref="E115">
    <cfRule type="cellIs" priority="3" dxfId="351" operator="greaterThan" stopIfTrue="1">
      <formula>$E$117*0.1</formula>
    </cfRule>
  </conditionalFormatting>
  <conditionalFormatting sqref="E55">
    <cfRule type="cellIs" priority="4" dxfId="351" operator="greaterThan" stopIfTrue="1">
      <formula>$E$57*0.1+E124</formula>
    </cfRule>
  </conditionalFormatting>
  <conditionalFormatting sqref="D55">
    <cfRule type="cellIs" priority="5" dxfId="2" operator="greaterThan" stopIfTrue="1">
      <formula>$D$57*0.1</formula>
    </cfRule>
  </conditionalFormatting>
  <conditionalFormatting sqref="C55">
    <cfRule type="cellIs" priority="6" dxfId="2" operator="greaterThan" stopIfTrue="1">
      <formula>$C$57*0.1</formula>
    </cfRule>
  </conditionalFormatting>
  <conditionalFormatting sqref="C118">
    <cfRule type="cellIs" priority="7" dxfId="2" operator="lessThan" stopIfTrue="1">
      <formula>0</formula>
    </cfRule>
  </conditionalFormatting>
  <conditionalFormatting sqref="D115">
    <cfRule type="cellIs" priority="8" dxfId="2" operator="greaterThan" stopIfTrue="1">
      <formula>$D$117*0.1</formula>
    </cfRule>
  </conditionalFormatting>
  <conditionalFormatting sqref="C115">
    <cfRule type="cellIs" priority="9" dxfId="2" operator="greaterThan" stopIfTrue="1">
      <formula>$C$117*0.1</formula>
    </cfRule>
  </conditionalFormatting>
  <conditionalFormatting sqref="C117">
    <cfRule type="cellIs" priority="10" dxfId="2" operator="greaterThan" stopIfTrue="1">
      <formula>$C$119</formula>
    </cfRule>
  </conditionalFormatting>
  <conditionalFormatting sqref="D117">
    <cfRule type="cellIs" priority="11" dxfId="2" operator="greaterThan" stopIfTrue="1">
      <formula>$D$119</formula>
    </cfRule>
  </conditionalFormatting>
  <conditionalFormatting sqref="D118">
    <cfRule type="cellIs" priority="1" dxfId="0" operator="lessThan" stopIfTrue="1">
      <formula>0</formula>
    </cfRule>
  </conditionalFormatting>
  <printOptions/>
  <pageMargins left="1" right="0.5" top="0.81" bottom="0.36" header="0.5" footer="0"/>
  <pageSetup blackAndWhite="1" fitToHeight="2" horizontalDpi="120" verticalDpi="120" orientation="portrait" scale="65" r:id="rId1"/>
  <headerFooter alignWithMargins="0">
    <oddHeader>&amp;RState of Kansas
County
</oddHeader>
  </headerFooter>
  <rowBreaks count="1" manualBreakCount="1">
    <brk id="59" max="255" man="1"/>
  </rowBreaks>
  <colBreaks count="1" manualBreakCount="1">
    <brk id="5" max="65535" man="1"/>
  </colBreaks>
</worksheet>
</file>

<file path=xl/worksheets/sheet14.xml><?xml version="1.0" encoding="utf-8"?>
<worksheet xmlns="http://schemas.openxmlformats.org/spreadsheetml/2006/main" xmlns:r="http://schemas.openxmlformats.org/officeDocument/2006/relationships">
  <dimension ref="B1:E405"/>
  <sheetViews>
    <sheetView zoomScalePageLayoutView="0" workbookViewId="0" topLeftCell="A1">
      <selection activeCell="Q342" sqref="Q342"/>
    </sheetView>
  </sheetViews>
  <sheetFormatPr defaultColWidth="8.796875" defaultRowHeight="15"/>
  <cols>
    <col min="1" max="1" width="2.3984375" style="31" customWidth="1"/>
    <col min="2" max="2" width="30.796875" style="31" customWidth="1"/>
    <col min="3" max="5" width="15.796875" style="31" customWidth="1"/>
    <col min="6" max="16384" width="8.8984375" style="31" customWidth="1"/>
  </cols>
  <sheetData>
    <row r="1" spans="2:5" ht="15.75">
      <c r="B1" s="160">
        <f>inputPrYr!C3</f>
        <v>0</v>
      </c>
      <c r="C1" s="45"/>
      <c r="D1" s="146"/>
      <c r="E1" s="45">
        <f>inputPrYr!C5</f>
        <v>0</v>
      </c>
    </row>
    <row r="2" spans="2:5" ht="15.75">
      <c r="B2" s="45"/>
      <c r="C2" s="45"/>
      <c r="D2" s="45"/>
      <c r="E2" s="146"/>
    </row>
    <row r="3" spans="2:5" ht="15.75">
      <c r="B3" s="169" t="s">
        <v>160</v>
      </c>
      <c r="C3" s="255"/>
      <c r="D3" s="255"/>
      <c r="E3" s="255"/>
    </row>
    <row r="4" spans="2:5" ht="15.75">
      <c r="B4" s="146" t="s">
        <v>49</v>
      </c>
      <c r="C4" s="283" t="s">
        <v>811</v>
      </c>
      <c r="D4" s="114" t="s">
        <v>812</v>
      </c>
      <c r="E4" s="114" t="s">
        <v>813</v>
      </c>
    </row>
    <row r="5" spans="2:5" ht="15.75">
      <c r="B5" s="404" t="s">
        <v>679</v>
      </c>
      <c r="C5" s="256" t="str">
        <f>CONCATENATE("Actual for ",E1-2,"")</f>
        <v>Actual for -2</v>
      </c>
      <c r="D5" s="256" t="str">
        <f>CONCATENATE("Estimate for ",E1-1,"")</f>
        <v>Estimate for -1</v>
      </c>
      <c r="E5" s="256" t="str">
        <f>CONCATENATE("Year for ",E1,"")</f>
        <v>Year for 0</v>
      </c>
    </row>
    <row r="6" spans="2:5" ht="15.75">
      <c r="B6" s="206" t="s">
        <v>62</v>
      </c>
      <c r="C6" s="81"/>
      <c r="D6" s="81"/>
      <c r="E6" s="81"/>
    </row>
    <row r="7" spans="2:5" ht="15.75">
      <c r="B7" s="284" t="s">
        <v>67</v>
      </c>
      <c r="C7" s="81"/>
      <c r="D7" s="81"/>
      <c r="E7" s="81"/>
    </row>
    <row r="8" spans="2:5" ht="15.75">
      <c r="B8" s="285" t="s">
        <v>68</v>
      </c>
      <c r="C8" s="248"/>
      <c r="D8" s="248"/>
      <c r="E8" s="248"/>
    </row>
    <row r="9" spans="2:5" ht="15.75">
      <c r="B9" s="285" t="s">
        <v>69</v>
      </c>
      <c r="C9" s="248"/>
      <c r="D9" s="248"/>
      <c r="E9" s="248"/>
    </row>
    <row r="10" spans="2:5" ht="15.75">
      <c r="B10" s="285" t="s">
        <v>70</v>
      </c>
      <c r="C10" s="248"/>
      <c r="D10" s="248"/>
      <c r="E10" s="248"/>
    </row>
    <row r="11" spans="2:5" ht="15.75">
      <c r="B11" s="285" t="s">
        <v>71</v>
      </c>
      <c r="C11" s="248"/>
      <c r="D11" s="248"/>
      <c r="E11" s="248"/>
    </row>
    <row r="12" spans="2:5" ht="15.75">
      <c r="B12" s="65"/>
      <c r="C12" s="248"/>
      <c r="D12" s="248"/>
      <c r="E12" s="248"/>
    </row>
    <row r="13" spans="2:5" ht="15.75">
      <c r="B13" s="146" t="s">
        <v>19</v>
      </c>
      <c r="C13" s="286">
        <f>SUM(C8:C12)</f>
        <v>0</v>
      </c>
      <c r="D13" s="286">
        <f>SUM(D8:D12)</f>
        <v>0</v>
      </c>
      <c r="E13" s="286">
        <f>SUM(E8:E12)</f>
        <v>0</v>
      </c>
    </row>
    <row r="14" spans="2:5" ht="15.75">
      <c r="B14" s="284" t="s">
        <v>72</v>
      </c>
      <c r="C14" s="81"/>
      <c r="D14" s="81"/>
      <c r="E14" s="81"/>
    </row>
    <row r="15" spans="2:5" ht="15.75">
      <c r="B15" s="285" t="s">
        <v>68</v>
      </c>
      <c r="C15" s="248"/>
      <c r="D15" s="248"/>
      <c r="E15" s="248"/>
    </row>
    <row r="16" spans="2:5" ht="15.75">
      <c r="B16" s="285" t="s">
        <v>69</v>
      </c>
      <c r="C16" s="248"/>
      <c r="D16" s="248"/>
      <c r="E16" s="248"/>
    </row>
    <row r="17" spans="2:5" ht="15.75">
      <c r="B17" s="285" t="s">
        <v>70</v>
      </c>
      <c r="C17" s="248"/>
      <c r="D17" s="248"/>
      <c r="E17" s="248"/>
    </row>
    <row r="18" spans="2:5" ht="15.75">
      <c r="B18" s="285" t="s">
        <v>71</v>
      </c>
      <c r="C18" s="248"/>
      <c r="D18" s="248"/>
      <c r="E18" s="248"/>
    </row>
    <row r="19" spans="2:5" ht="15.75">
      <c r="B19" s="146" t="s">
        <v>19</v>
      </c>
      <c r="C19" s="286">
        <f>SUM(C15:C18)</f>
        <v>0</v>
      </c>
      <c r="D19" s="286">
        <f>SUM(D15:D18)</f>
        <v>0</v>
      </c>
      <c r="E19" s="286">
        <f>SUM(E15:E18)</f>
        <v>0</v>
      </c>
    </row>
    <row r="20" spans="2:5" ht="15.75">
      <c r="B20" s="284" t="s">
        <v>73</v>
      </c>
      <c r="C20" s="81"/>
      <c r="D20" s="81"/>
      <c r="E20" s="81"/>
    </row>
    <row r="21" spans="2:5" ht="15.75">
      <c r="B21" s="285" t="s">
        <v>68</v>
      </c>
      <c r="C21" s="248"/>
      <c r="D21" s="248"/>
      <c r="E21" s="248"/>
    </row>
    <row r="22" spans="2:5" ht="15.75">
      <c r="B22" s="285" t="s">
        <v>69</v>
      </c>
      <c r="C22" s="248"/>
      <c r="D22" s="248"/>
      <c r="E22" s="248"/>
    </row>
    <row r="23" spans="2:5" ht="15.75">
      <c r="B23" s="285" t="s">
        <v>70</v>
      </c>
      <c r="C23" s="248"/>
      <c r="D23" s="248"/>
      <c r="E23" s="248"/>
    </row>
    <row r="24" spans="2:5" ht="15.75">
      <c r="B24" s="285" t="s">
        <v>71</v>
      </c>
      <c r="C24" s="248"/>
      <c r="D24" s="248"/>
      <c r="E24" s="248"/>
    </row>
    <row r="25" spans="2:5" ht="15.75">
      <c r="B25" s="146" t="s">
        <v>19</v>
      </c>
      <c r="C25" s="286">
        <f>SUM(C21:C24)</f>
        <v>0</v>
      </c>
      <c r="D25" s="286">
        <f>SUM(D21:D24)</f>
        <v>0</v>
      </c>
      <c r="E25" s="286">
        <f>SUM(E21:E24)</f>
        <v>0</v>
      </c>
    </row>
    <row r="26" spans="2:5" ht="15.75">
      <c r="B26" s="284" t="s">
        <v>74</v>
      </c>
      <c r="C26" s="81"/>
      <c r="D26" s="81"/>
      <c r="E26" s="81"/>
    </row>
    <row r="27" spans="2:5" ht="15.75">
      <c r="B27" s="285" t="s">
        <v>68</v>
      </c>
      <c r="C27" s="248"/>
      <c r="D27" s="248"/>
      <c r="E27" s="248"/>
    </row>
    <row r="28" spans="2:5" ht="15.75">
      <c r="B28" s="285" t="s">
        <v>69</v>
      </c>
      <c r="C28" s="248"/>
      <c r="D28" s="248"/>
      <c r="E28" s="248"/>
    </row>
    <row r="29" spans="2:5" ht="15.75">
      <c r="B29" s="285" t="s">
        <v>70</v>
      </c>
      <c r="C29" s="248"/>
      <c r="D29" s="248"/>
      <c r="E29" s="248"/>
    </row>
    <row r="30" spans="2:5" ht="15.75">
      <c r="B30" s="285" t="s">
        <v>71</v>
      </c>
      <c r="C30" s="248"/>
      <c r="D30" s="248"/>
      <c r="E30" s="248"/>
    </row>
    <row r="31" spans="2:5" ht="15.75">
      <c r="B31" s="146" t="s">
        <v>19</v>
      </c>
      <c r="C31" s="286">
        <f>SUM(C27:C30)</f>
        <v>0</v>
      </c>
      <c r="D31" s="286">
        <f>SUM(D27:D30)</f>
        <v>0</v>
      </c>
      <c r="E31" s="286">
        <f>SUM(E27:E30)</f>
        <v>0</v>
      </c>
    </row>
    <row r="32" spans="2:5" ht="15.75">
      <c r="B32" s="284" t="s">
        <v>75</v>
      </c>
      <c r="C32" s="81"/>
      <c r="D32" s="81"/>
      <c r="E32" s="81"/>
    </row>
    <row r="33" spans="2:5" ht="15.75">
      <c r="B33" s="285" t="s">
        <v>68</v>
      </c>
      <c r="C33" s="248"/>
      <c r="D33" s="248"/>
      <c r="E33" s="248"/>
    </row>
    <row r="34" spans="2:5" ht="15.75">
      <c r="B34" s="285" t="s">
        <v>69</v>
      </c>
      <c r="C34" s="248"/>
      <c r="D34" s="248"/>
      <c r="E34" s="248"/>
    </row>
    <row r="35" spans="2:5" ht="15.75">
      <c r="B35" s="285" t="s">
        <v>70</v>
      </c>
      <c r="C35" s="248"/>
      <c r="D35" s="248"/>
      <c r="E35" s="248"/>
    </row>
    <row r="36" spans="2:5" ht="15.75">
      <c r="B36" s="249" t="s">
        <v>71</v>
      </c>
      <c r="C36" s="248"/>
      <c r="D36" s="248"/>
      <c r="E36" s="248"/>
    </row>
    <row r="37" spans="2:5" ht="15.75">
      <c r="B37" s="146" t="s">
        <v>19</v>
      </c>
      <c r="C37" s="286">
        <f>SUM(C33:C36)</f>
        <v>0</v>
      </c>
      <c r="D37" s="286">
        <f>SUM(D33:D36)</f>
        <v>0</v>
      </c>
      <c r="E37" s="286">
        <f>SUM(E33:E36)</f>
        <v>0</v>
      </c>
    </row>
    <row r="38" spans="2:5" ht="15.75">
      <c r="B38" s="284" t="s">
        <v>76</v>
      </c>
      <c r="C38" s="81"/>
      <c r="D38" s="81"/>
      <c r="E38" s="81"/>
    </row>
    <row r="39" spans="2:5" ht="15.75">
      <c r="B39" s="285" t="s">
        <v>68</v>
      </c>
      <c r="C39" s="248"/>
      <c r="D39" s="248"/>
      <c r="E39" s="248"/>
    </row>
    <row r="40" spans="2:5" ht="15.75">
      <c r="B40" s="285" t="s">
        <v>69</v>
      </c>
      <c r="C40" s="248"/>
      <c r="D40" s="248"/>
      <c r="E40" s="248"/>
    </row>
    <row r="41" spans="2:5" ht="15.75">
      <c r="B41" s="285" t="s">
        <v>70</v>
      </c>
      <c r="C41" s="248"/>
      <c r="D41" s="248"/>
      <c r="E41" s="248"/>
    </row>
    <row r="42" spans="2:5" ht="15.75">
      <c r="B42" s="285" t="s">
        <v>71</v>
      </c>
      <c r="C42" s="248"/>
      <c r="D42" s="248"/>
      <c r="E42" s="248"/>
    </row>
    <row r="43" spans="2:5" ht="15.75">
      <c r="B43" s="146" t="s">
        <v>19</v>
      </c>
      <c r="C43" s="286">
        <f>SUM(C39:C42)</f>
        <v>0</v>
      </c>
      <c r="D43" s="286">
        <f>SUM(D39:D42)</f>
        <v>0</v>
      </c>
      <c r="E43" s="286">
        <f>SUM(E39:E42)</f>
        <v>0</v>
      </c>
    </row>
    <row r="44" spans="2:5" ht="15.75">
      <c r="B44" s="284" t="s">
        <v>77</v>
      </c>
      <c r="C44" s="81"/>
      <c r="D44" s="81"/>
      <c r="E44" s="81"/>
    </row>
    <row r="45" spans="2:5" ht="15.75">
      <c r="B45" s="285" t="s">
        <v>68</v>
      </c>
      <c r="C45" s="248"/>
      <c r="D45" s="248"/>
      <c r="E45" s="248"/>
    </row>
    <row r="46" spans="2:5" ht="15.75">
      <c r="B46" s="285" t="s">
        <v>69</v>
      </c>
      <c r="C46" s="248"/>
      <c r="D46" s="248"/>
      <c r="E46" s="248"/>
    </row>
    <row r="47" spans="2:5" ht="15.75">
      <c r="B47" s="285" t="s">
        <v>70</v>
      </c>
      <c r="C47" s="248"/>
      <c r="D47" s="248"/>
      <c r="E47" s="248"/>
    </row>
    <row r="48" spans="2:5" ht="15.75">
      <c r="B48" s="285" t="s">
        <v>71</v>
      </c>
      <c r="C48" s="248"/>
      <c r="D48" s="248"/>
      <c r="E48" s="248"/>
    </row>
    <row r="49" spans="2:5" ht="15.75">
      <c r="B49" s="146" t="s">
        <v>19</v>
      </c>
      <c r="C49" s="286">
        <f>SUM(C45:C48)</f>
        <v>0</v>
      </c>
      <c r="D49" s="286">
        <f>SUM(D45:D48)</f>
        <v>0</v>
      </c>
      <c r="E49" s="286">
        <f>SUM(E45:E48)</f>
        <v>0</v>
      </c>
    </row>
    <row r="50" spans="2:5" ht="15.75">
      <c r="B50" s="284" t="s">
        <v>78</v>
      </c>
      <c r="C50" s="81"/>
      <c r="D50" s="81"/>
      <c r="E50" s="81"/>
    </row>
    <row r="51" spans="2:5" ht="15.75">
      <c r="B51" s="285" t="s">
        <v>68</v>
      </c>
      <c r="C51" s="248"/>
      <c r="D51" s="248"/>
      <c r="E51" s="248"/>
    </row>
    <row r="52" spans="2:5" ht="15.75">
      <c r="B52" s="285" t="s">
        <v>69</v>
      </c>
      <c r="C52" s="248"/>
      <c r="D52" s="248"/>
      <c r="E52" s="248"/>
    </row>
    <row r="53" spans="2:5" ht="15.75">
      <c r="B53" s="285" t="s">
        <v>70</v>
      </c>
      <c r="C53" s="248"/>
      <c r="D53" s="248"/>
      <c r="E53" s="248"/>
    </row>
    <row r="54" spans="2:5" ht="15.75">
      <c r="B54" s="285" t="s">
        <v>71</v>
      </c>
      <c r="C54" s="248"/>
      <c r="D54" s="248"/>
      <c r="E54" s="248"/>
    </row>
    <row r="55" spans="2:5" ht="15.75">
      <c r="B55" s="146" t="s">
        <v>19</v>
      </c>
      <c r="C55" s="262">
        <f>SUM(C51:C54)</f>
        <v>0</v>
      </c>
      <c r="D55" s="262">
        <f>SUM(D51:D54)</f>
        <v>0</v>
      </c>
      <c r="E55" s="262">
        <f>SUM(E51:E54)</f>
        <v>0</v>
      </c>
    </row>
    <row r="56" spans="2:5" ht="15.75">
      <c r="B56" s="45"/>
      <c r="C56" s="81"/>
      <c r="D56" s="81"/>
      <c r="E56" s="81"/>
    </row>
    <row r="57" spans="2:5" ht="15.75">
      <c r="B57" s="146" t="s">
        <v>211</v>
      </c>
      <c r="C57" s="253">
        <f>C13+C19+C25+C31+C37+C43+C49+C55</f>
        <v>0</v>
      </c>
      <c r="D57" s="253">
        <f>D13+D19+D25+D31+D37+D43+D49+D55</f>
        <v>0</v>
      </c>
      <c r="E57" s="253">
        <f>E13+E19+E25+E31+E37+E43+E49+E55</f>
        <v>0</v>
      </c>
    </row>
    <row r="58" spans="2:5" ht="15.75">
      <c r="B58" s="45"/>
      <c r="C58" s="160"/>
      <c r="D58" s="160"/>
      <c r="E58" s="160"/>
    </row>
    <row r="59" spans="2:5" ht="15.75">
      <c r="B59" s="828" t="s">
        <v>789</v>
      </c>
      <c r="C59" s="828"/>
      <c r="D59" s="828"/>
      <c r="E59" s="828"/>
    </row>
    <row r="60" spans="2:5" ht="15.75">
      <c r="B60" s="45"/>
      <c r="C60" s="160"/>
      <c r="D60" s="160"/>
      <c r="E60" s="160"/>
    </row>
    <row r="61" spans="2:5" ht="15.75">
      <c r="B61" s="160">
        <f>inputPrYr!C3</f>
        <v>0</v>
      </c>
      <c r="C61" s="160"/>
      <c r="D61" s="44"/>
      <c r="E61" s="287">
        <f>E1</f>
        <v>0</v>
      </c>
    </row>
    <row r="62" spans="2:5" ht="15.75">
      <c r="B62" s="45"/>
      <c r="C62" s="160"/>
      <c r="D62" s="160"/>
      <c r="E62" s="44"/>
    </row>
    <row r="63" spans="2:5" ht="15.75">
      <c r="B63" s="254" t="s">
        <v>159</v>
      </c>
      <c r="C63" s="110"/>
      <c r="D63" s="110"/>
      <c r="E63" s="110"/>
    </row>
    <row r="64" spans="2:5" ht="15.75">
      <c r="B64" s="45" t="s">
        <v>49</v>
      </c>
      <c r="C64" s="447" t="str">
        <f aca="true" t="shared" si="0" ref="C64:E65">C4</f>
        <v>Prior Year </v>
      </c>
      <c r="D64" s="448" t="str">
        <f t="shared" si="0"/>
        <v>Current Year </v>
      </c>
      <c r="E64" s="448" t="str">
        <f t="shared" si="0"/>
        <v>Proposed Budget </v>
      </c>
    </row>
    <row r="65" spans="2:5" ht="15.75">
      <c r="B65" s="68" t="s">
        <v>66</v>
      </c>
      <c r="C65" s="256" t="str">
        <f t="shared" si="0"/>
        <v>Actual for -2</v>
      </c>
      <c r="D65" s="256" t="str">
        <f t="shared" si="0"/>
        <v>Estimate for -1</v>
      </c>
      <c r="E65" s="256" t="str">
        <f t="shared" si="0"/>
        <v>Year for 0</v>
      </c>
    </row>
    <row r="66" spans="2:5" ht="15.75">
      <c r="B66" s="146" t="s">
        <v>62</v>
      </c>
      <c r="C66" s="81"/>
      <c r="D66" s="81"/>
      <c r="E66" s="81"/>
    </row>
    <row r="67" spans="2:5" ht="15.75">
      <c r="B67" s="284" t="s">
        <v>38</v>
      </c>
      <c r="C67" s="81"/>
      <c r="D67" s="81"/>
      <c r="E67" s="81"/>
    </row>
    <row r="68" spans="2:5" ht="15.75">
      <c r="B68" s="285" t="s">
        <v>68</v>
      </c>
      <c r="C68" s="248"/>
      <c r="D68" s="248"/>
      <c r="E68" s="248"/>
    </row>
    <row r="69" spans="2:5" ht="15.75">
      <c r="B69" s="285" t="s">
        <v>69</v>
      </c>
      <c r="C69" s="248"/>
      <c r="D69" s="248"/>
      <c r="E69" s="248"/>
    </row>
    <row r="70" spans="2:5" ht="15.75">
      <c r="B70" s="285" t="s">
        <v>70</v>
      </c>
      <c r="C70" s="248"/>
      <c r="D70" s="248"/>
      <c r="E70" s="248"/>
    </row>
    <row r="71" spans="2:5" ht="15.75">
      <c r="B71" s="285" t="s">
        <v>71</v>
      </c>
      <c r="C71" s="248"/>
      <c r="D71" s="248"/>
      <c r="E71" s="248"/>
    </row>
    <row r="72" spans="2:5" ht="15.75">
      <c r="B72" s="146" t="s">
        <v>19</v>
      </c>
      <c r="C72" s="286">
        <f>SUM(C68:C71)</f>
        <v>0</v>
      </c>
      <c r="D72" s="286">
        <f>SUM(D68:D71)</f>
        <v>0</v>
      </c>
      <c r="E72" s="286">
        <f>SUM(E68:E71)</f>
        <v>0</v>
      </c>
    </row>
    <row r="73" spans="2:5" ht="15.75">
      <c r="B73" s="284" t="s">
        <v>79</v>
      </c>
      <c r="C73" s="81"/>
      <c r="D73" s="81"/>
      <c r="E73" s="81"/>
    </row>
    <row r="74" spans="2:5" ht="15.75">
      <c r="B74" s="285" t="s">
        <v>68</v>
      </c>
      <c r="C74" s="248"/>
      <c r="D74" s="248"/>
      <c r="E74" s="248"/>
    </row>
    <row r="75" spans="2:5" ht="15.75">
      <c r="B75" s="285" t="s">
        <v>69</v>
      </c>
      <c r="C75" s="248"/>
      <c r="D75" s="248"/>
      <c r="E75" s="248"/>
    </row>
    <row r="76" spans="2:5" ht="15.75">
      <c r="B76" s="285" t="s">
        <v>70</v>
      </c>
      <c r="C76" s="248"/>
      <c r="D76" s="248"/>
      <c r="E76" s="248"/>
    </row>
    <row r="77" spans="2:5" ht="15.75">
      <c r="B77" s="285" t="s">
        <v>71</v>
      </c>
      <c r="C77" s="248"/>
      <c r="D77" s="248"/>
      <c r="E77" s="248"/>
    </row>
    <row r="78" spans="2:5" ht="15.75">
      <c r="B78" s="146" t="s">
        <v>19</v>
      </c>
      <c r="C78" s="262">
        <f>SUM(C74:C77)</f>
        <v>0</v>
      </c>
      <c r="D78" s="262">
        <f>SUM(D74:D77)</f>
        <v>0</v>
      </c>
      <c r="E78" s="262">
        <f>SUM(E74:E77)</f>
        <v>0</v>
      </c>
    </row>
    <row r="79" spans="2:5" ht="15.75">
      <c r="B79" s="284" t="s">
        <v>80</v>
      </c>
      <c r="C79" s="81"/>
      <c r="D79" s="81"/>
      <c r="E79" s="81"/>
    </row>
    <row r="80" spans="2:5" ht="15.75">
      <c r="B80" s="285" t="s">
        <v>68</v>
      </c>
      <c r="C80" s="248"/>
      <c r="D80" s="248"/>
      <c r="E80" s="248"/>
    </row>
    <row r="81" spans="2:5" ht="15.75">
      <c r="B81" s="285" t="s">
        <v>69</v>
      </c>
      <c r="C81" s="248"/>
      <c r="D81" s="248"/>
      <c r="E81" s="248"/>
    </row>
    <row r="82" spans="2:5" ht="15.75">
      <c r="B82" s="285" t="s">
        <v>70</v>
      </c>
      <c r="C82" s="248"/>
      <c r="D82" s="248"/>
      <c r="E82" s="248"/>
    </row>
    <row r="83" spans="2:5" ht="15.75">
      <c r="B83" s="285" t="s">
        <v>71</v>
      </c>
      <c r="C83" s="248"/>
      <c r="D83" s="248"/>
      <c r="E83" s="248"/>
    </row>
    <row r="84" spans="2:5" ht="15.75">
      <c r="B84" s="146" t="s">
        <v>19</v>
      </c>
      <c r="C84" s="262">
        <f>SUM(C80:C83)</f>
        <v>0</v>
      </c>
      <c r="D84" s="262">
        <f>SUM(D80:D83)</f>
        <v>0</v>
      </c>
      <c r="E84" s="262">
        <f>SUM(E80:E83)</f>
        <v>0</v>
      </c>
    </row>
    <row r="85" spans="2:5" ht="15.75">
      <c r="B85" s="284" t="s">
        <v>81</v>
      </c>
      <c r="C85" s="81"/>
      <c r="D85" s="81"/>
      <c r="E85" s="81"/>
    </row>
    <row r="86" spans="2:5" ht="15.75">
      <c r="B86" s="285" t="s">
        <v>82</v>
      </c>
      <c r="C86" s="248"/>
      <c r="D86" s="248"/>
      <c r="E86" s="248"/>
    </row>
    <row r="87" spans="2:5" ht="15.75">
      <c r="B87" s="285" t="s">
        <v>83</v>
      </c>
      <c r="C87" s="248"/>
      <c r="D87" s="248"/>
      <c r="E87" s="248"/>
    </row>
    <row r="88" spans="2:5" ht="15.75">
      <c r="B88" s="285" t="s">
        <v>84</v>
      </c>
      <c r="C88" s="248"/>
      <c r="D88" s="248"/>
      <c r="E88" s="248"/>
    </row>
    <row r="89" spans="2:5" ht="15.75">
      <c r="B89" s="65"/>
      <c r="C89" s="248"/>
      <c r="D89" s="248"/>
      <c r="E89" s="248"/>
    </row>
    <row r="90" spans="2:5" ht="15.75">
      <c r="B90" s="146" t="s">
        <v>19</v>
      </c>
      <c r="C90" s="262">
        <f>SUM(C86:C89)</f>
        <v>0</v>
      </c>
      <c r="D90" s="262">
        <f>SUM(D86:D89)</f>
        <v>0</v>
      </c>
      <c r="E90" s="262">
        <f>SUM(E86:E89)</f>
        <v>0</v>
      </c>
    </row>
    <row r="91" spans="2:5" ht="15.75">
      <c r="B91" s="284" t="s">
        <v>47</v>
      </c>
      <c r="C91" s="81"/>
      <c r="D91" s="81"/>
      <c r="E91" s="81"/>
    </row>
    <row r="92" spans="2:5" ht="15.75">
      <c r="B92" s="285" t="s">
        <v>68</v>
      </c>
      <c r="C92" s="248"/>
      <c r="D92" s="248"/>
      <c r="E92" s="248"/>
    </row>
    <row r="93" spans="2:5" ht="15.75">
      <c r="B93" s="285" t="s">
        <v>69</v>
      </c>
      <c r="C93" s="248"/>
      <c r="D93" s="248"/>
      <c r="E93" s="248"/>
    </row>
    <row r="94" spans="2:5" ht="15.75">
      <c r="B94" s="285" t="s">
        <v>70</v>
      </c>
      <c r="C94" s="248"/>
      <c r="D94" s="248"/>
      <c r="E94" s="248"/>
    </row>
    <row r="95" spans="2:5" ht="15.75">
      <c r="B95" s="285" t="s">
        <v>71</v>
      </c>
      <c r="C95" s="248"/>
      <c r="D95" s="248"/>
      <c r="E95" s="248"/>
    </row>
    <row r="96" spans="2:5" ht="15.75">
      <c r="B96" s="146" t="s">
        <v>19</v>
      </c>
      <c r="C96" s="262">
        <f>SUM(C92:C95)</f>
        <v>0</v>
      </c>
      <c r="D96" s="262">
        <f>SUM(D92:D95)</f>
        <v>0</v>
      </c>
      <c r="E96" s="262">
        <f>SUM(E92:E95)</f>
        <v>0</v>
      </c>
    </row>
    <row r="97" spans="2:5" ht="15.75">
      <c r="B97" s="284" t="s">
        <v>85</v>
      </c>
      <c r="C97" s="81"/>
      <c r="D97" s="81"/>
      <c r="E97" s="81"/>
    </row>
    <row r="98" spans="2:5" ht="15.75">
      <c r="B98" s="285" t="s">
        <v>68</v>
      </c>
      <c r="C98" s="248"/>
      <c r="D98" s="248"/>
      <c r="E98" s="248"/>
    </row>
    <row r="99" spans="2:5" ht="15.75">
      <c r="B99" s="285" t="s">
        <v>69</v>
      </c>
      <c r="C99" s="248"/>
      <c r="D99" s="248"/>
      <c r="E99" s="248"/>
    </row>
    <row r="100" spans="2:5" ht="15.75">
      <c r="B100" s="285" t="s">
        <v>70</v>
      </c>
      <c r="C100" s="248"/>
      <c r="D100" s="248"/>
      <c r="E100" s="248"/>
    </row>
    <row r="101" spans="2:5" ht="15.75">
      <c r="B101" s="285" t="s">
        <v>71</v>
      </c>
      <c r="C101" s="248"/>
      <c r="D101" s="248"/>
      <c r="E101" s="248"/>
    </row>
    <row r="102" spans="2:5" ht="15.75">
      <c r="B102" s="146" t="s">
        <v>19</v>
      </c>
      <c r="C102" s="262">
        <f>SUM(C98:C101)</f>
        <v>0</v>
      </c>
      <c r="D102" s="262">
        <f>SUM(D98:D101)</f>
        <v>0</v>
      </c>
      <c r="E102" s="262">
        <f>SUM(E98:E101)</f>
        <v>0</v>
      </c>
    </row>
    <row r="103" spans="2:5" ht="15.75">
      <c r="B103" s="284" t="s">
        <v>86</v>
      </c>
      <c r="C103" s="81"/>
      <c r="D103" s="81"/>
      <c r="E103" s="81"/>
    </row>
    <row r="104" spans="2:5" ht="15.75">
      <c r="B104" s="285" t="s">
        <v>68</v>
      </c>
      <c r="C104" s="248"/>
      <c r="D104" s="248"/>
      <c r="E104" s="248"/>
    </row>
    <row r="105" spans="2:5" ht="15.75">
      <c r="B105" s="285" t="s">
        <v>69</v>
      </c>
      <c r="C105" s="248"/>
      <c r="D105" s="248"/>
      <c r="E105" s="248"/>
    </row>
    <row r="106" spans="2:5" ht="15.75">
      <c r="B106" s="285" t="s">
        <v>70</v>
      </c>
      <c r="C106" s="248"/>
      <c r="D106" s="248"/>
      <c r="E106" s="248"/>
    </row>
    <row r="107" spans="2:5" ht="15.75">
      <c r="B107" s="285" t="s">
        <v>71</v>
      </c>
      <c r="C107" s="248"/>
      <c r="D107" s="248"/>
      <c r="E107" s="248"/>
    </row>
    <row r="108" spans="2:5" ht="15.75">
      <c r="B108" s="146" t="s">
        <v>19</v>
      </c>
      <c r="C108" s="262">
        <f>SUM(C104:C107)</f>
        <v>0</v>
      </c>
      <c r="D108" s="262">
        <f>SUM(D104:D107)</f>
        <v>0</v>
      </c>
      <c r="E108" s="262">
        <f>SUM(E104:E107)</f>
        <v>0</v>
      </c>
    </row>
    <row r="109" spans="2:5" ht="15.75">
      <c r="B109" s="284" t="s">
        <v>87</v>
      </c>
      <c r="C109" s="81"/>
      <c r="D109" s="81"/>
      <c r="E109" s="81"/>
    </row>
    <row r="110" spans="2:5" ht="15.75">
      <c r="B110" s="285" t="s">
        <v>68</v>
      </c>
      <c r="C110" s="248"/>
      <c r="D110" s="248"/>
      <c r="E110" s="248"/>
    </row>
    <row r="111" spans="2:5" ht="15.75">
      <c r="B111" s="285" t="s">
        <v>69</v>
      </c>
      <c r="C111" s="248"/>
      <c r="D111" s="248"/>
      <c r="E111" s="248"/>
    </row>
    <row r="112" spans="2:5" ht="15.75">
      <c r="B112" s="285" t="s">
        <v>70</v>
      </c>
      <c r="C112" s="248"/>
      <c r="D112" s="248"/>
      <c r="E112" s="248"/>
    </row>
    <row r="113" spans="2:5" ht="15.75">
      <c r="B113" s="285" t="s">
        <v>71</v>
      </c>
      <c r="C113" s="248"/>
      <c r="D113" s="248"/>
      <c r="E113" s="248"/>
    </row>
    <row r="114" spans="2:5" ht="15.75">
      <c r="B114" s="146" t="s">
        <v>19</v>
      </c>
      <c r="C114" s="262">
        <f>SUM(C110:C113)</f>
        <v>0</v>
      </c>
      <c r="D114" s="262">
        <f>SUM(D110:D113)</f>
        <v>0</v>
      </c>
      <c r="E114" s="262">
        <f>SUM(E110:E113)</f>
        <v>0</v>
      </c>
    </row>
    <row r="115" spans="2:5" ht="15.75">
      <c r="B115" s="45"/>
      <c r="C115" s="81"/>
      <c r="D115" s="81"/>
      <c r="E115" s="81"/>
    </row>
    <row r="116" spans="2:5" ht="15.75">
      <c r="B116" s="146" t="s">
        <v>212</v>
      </c>
      <c r="C116" s="253">
        <f>C72+C78+C84+C90+C96+C102+C108+C114</f>
        <v>0</v>
      </c>
      <c r="D116" s="253">
        <f>D72+D78+D84+D90+D96+D102+D108+D114</f>
        <v>0</v>
      </c>
      <c r="E116" s="253">
        <f>E72+E78+E84+E90+E96+E102+E108+E114</f>
        <v>0</v>
      </c>
    </row>
    <row r="117" spans="2:5" ht="15.75">
      <c r="B117" s="45"/>
      <c r="C117" s="160"/>
      <c r="D117" s="160"/>
      <c r="E117" s="160"/>
    </row>
    <row r="118" spans="2:5" ht="15.75">
      <c r="B118" s="828" t="s">
        <v>788</v>
      </c>
      <c r="C118" s="828"/>
      <c r="D118" s="828"/>
      <c r="E118" s="828"/>
    </row>
    <row r="119" spans="2:5" ht="15.75">
      <c r="B119" s="160">
        <f>inputPrYr!C3</f>
        <v>0</v>
      </c>
      <c r="C119" s="160"/>
      <c r="D119" s="44"/>
      <c r="E119" s="287">
        <f>E1</f>
        <v>0</v>
      </c>
    </row>
    <row r="120" spans="2:5" ht="15.75">
      <c r="B120" s="45"/>
      <c r="C120" s="160"/>
      <c r="D120" s="160"/>
      <c r="E120" s="44"/>
    </row>
    <row r="121" spans="2:5" ht="15.75">
      <c r="B121" s="254" t="s">
        <v>159</v>
      </c>
      <c r="C121" s="110"/>
      <c r="D121" s="110"/>
      <c r="E121" s="110"/>
    </row>
    <row r="122" spans="2:5" ht="15.75">
      <c r="B122" s="45" t="s">
        <v>49</v>
      </c>
      <c r="C122" s="447" t="str">
        <f aca="true" t="shared" si="1" ref="C122:E123">C4</f>
        <v>Prior Year </v>
      </c>
      <c r="D122" s="448" t="str">
        <f t="shared" si="1"/>
        <v>Current Year </v>
      </c>
      <c r="E122" s="448" t="str">
        <f t="shared" si="1"/>
        <v>Proposed Budget </v>
      </c>
    </row>
    <row r="123" spans="2:5" ht="15.75">
      <c r="B123" s="68" t="s">
        <v>66</v>
      </c>
      <c r="C123" s="256" t="str">
        <f t="shared" si="1"/>
        <v>Actual for -2</v>
      </c>
      <c r="D123" s="256" t="str">
        <f t="shared" si="1"/>
        <v>Estimate for -1</v>
      </c>
      <c r="E123" s="256" t="str">
        <f t="shared" si="1"/>
        <v>Year for 0</v>
      </c>
    </row>
    <row r="124" spans="2:5" ht="15.75">
      <c r="B124" s="146" t="s">
        <v>62</v>
      </c>
      <c r="C124" s="81"/>
      <c r="D124" s="81"/>
      <c r="E124" s="81"/>
    </row>
    <row r="125" spans="2:5" ht="15.75">
      <c r="B125" s="284" t="s">
        <v>88</v>
      </c>
      <c r="C125" s="81"/>
      <c r="D125" s="81"/>
      <c r="E125" s="81"/>
    </row>
    <row r="126" spans="2:5" ht="15.75">
      <c r="B126" s="285" t="s">
        <v>89</v>
      </c>
      <c r="C126" s="248"/>
      <c r="D126" s="248"/>
      <c r="E126" s="248"/>
    </row>
    <row r="127" spans="2:5" ht="15.75">
      <c r="B127" s="285" t="s">
        <v>90</v>
      </c>
      <c r="C127" s="248"/>
      <c r="D127" s="248"/>
      <c r="E127" s="248"/>
    </row>
    <row r="128" spans="2:5" ht="15.75">
      <c r="B128" s="285" t="s">
        <v>91</v>
      </c>
      <c r="C128" s="248"/>
      <c r="D128" s="248"/>
      <c r="E128" s="248"/>
    </row>
    <row r="129" spans="2:5" ht="15.75">
      <c r="B129" s="285" t="s">
        <v>92</v>
      </c>
      <c r="C129" s="248"/>
      <c r="D129" s="248"/>
      <c r="E129" s="248"/>
    </row>
    <row r="130" spans="2:5" ht="15.75">
      <c r="B130" s="285" t="s">
        <v>93</v>
      </c>
      <c r="C130" s="248"/>
      <c r="D130" s="248"/>
      <c r="E130" s="248"/>
    </row>
    <row r="131" spans="2:5" ht="15.75">
      <c r="B131" s="285" t="s">
        <v>94</v>
      </c>
      <c r="C131" s="248"/>
      <c r="D131" s="248"/>
      <c r="E131" s="248"/>
    </row>
    <row r="132" spans="2:5" ht="15.75">
      <c r="B132" s="146" t="s">
        <v>19</v>
      </c>
      <c r="C132" s="262">
        <f>SUM(C126:C131)</f>
        <v>0</v>
      </c>
      <c r="D132" s="262">
        <f>SUM(D126:D131)</f>
        <v>0</v>
      </c>
      <c r="E132" s="262">
        <f>SUM(E126:E131)</f>
        <v>0</v>
      </c>
    </row>
    <row r="133" spans="2:5" ht="15.75">
      <c r="B133" s="284" t="s">
        <v>95</v>
      </c>
      <c r="C133" s="81"/>
      <c r="D133" s="81"/>
      <c r="E133" s="81"/>
    </row>
    <row r="134" spans="2:5" ht="15.75">
      <c r="B134" s="285" t="s">
        <v>68</v>
      </c>
      <c r="C134" s="248"/>
      <c r="D134" s="248"/>
      <c r="E134" s="248"/>
    </row>
    <row r="135" spans="2:5" ht="15.75">
      <c r="B135" s="285" t="s">
        <v>69</v>
      </c>
      <c r="C135" s="248"/>
      <c r="D135" s="248"/>
      <c r="E135" s="248"/>
    </row>
    <row r="136" spans="2:5" ht="15.75">
      <c r="B136" s="285" t="s">
        <v>70</v>
      </c>
      <c r="C136" s="248"/>
      <c r="D136" s="248"/>
      <c r="E136" s="248"/>
    </row>
    <row r="137" spans="2:5" ht="15.75">
      <c r="B137" s="285" t="s">
        <v>71</v>
      </c>
      <c r="C137" s="248"/>
      <c r="D137" s="248"/>
      <c r="E137" s="248"/>
    </row>
    <row r="138" spans="2:5" ht="15.75">
      <c r="B138" s="146" t="s">
        <v>19</v>
      </c>
      <c r="C138" s="262">
        <f>SUM(C134:C137)</f>
        <v>0</v>
      </c>
      <c r="D138" s="262">
        <f>SUM(D134:D137)</f>
        <v>0</v>
      </c>
      <c r="E138" s="262">
        <f>SUM(E134:E137)</f>
        <v>0</v>
      </c>
    </row>
    <row r="139" spans="2:5" ht="15.75">
      <c r="B139" s="284" t="s">
        <v>96</v>
      </c>
      <c r="C139" s="81"/>
      <c r="D139" s="81"/>
      <c r="E139" s="81"/>
    </row>
    <row r="140" spans="2:5" ht="15.75">
      <c r="B140" s="285" t="s">
        <v>68</v>
      </c>
      <c r="C140" s="248"/>
      <c r="D140" s="248"/>
      <c r="E140" s="248"/>
    </row>
    <row r="141" spans="2:5" ht="15.75">
      <c r="B141" s="285" t="s">
        <v>69</v>
      </c>
      <c r="C141" s="248"/>
      <c r="D141" s="248"/>
      <c r="E141" s="248"/>
    </row>
    <row r="142" spans="2:5" ht="15.75">
      <c r="B142" s="285" t="s">
        <v>70</v>
      </c>
      <c r="C142" s="248"/>
      <c r="D142" s="248"/>
      <c r="E142" s="248"/>
    </row>
    <row r="143" spans="2:5" ht="15.75">
      <c r="B143" s="285" t="s">
        <v>71</v>
      </c>
      <c r="C143" s="248"/>
      <c r="D143" s="248"/>
      <c r="E143" s="248"/>
    </row>
    <row r="144" spans="2:5" ht="15.75">
      <c r="B144" s="146" t="s">
        <v>19</v>
      </c>
      <c r="C144" s="262">
        <f>SUM(C140:C143)</f>
        <v>0</v>
      </c>
      <c r="D144" s="262">
        <f>SUM(D140:D143)</f>
        <v>0</v>
      </c>
      <c r="E144" s="262">
        <f>SUM(E140:E143)</f>
        <v>0</v>
      </c>
    </row>
    <row r="145" spans="2:5" ht="15.75">
      <c r="B145" s="284" t="s">
        <v>97</v>
      </c>
      <c r="C145" s="81"/>
      <c r="D145" s="81"/>
      <c r="E145" s="81"/>
    </row>
    <row r="146" spans="2:5" ht="15.75">
      <c r="B146" s="285" t="s">
        <v>68</v>
      </c>
      <c r="C146" s="248"/>
      <c r="D146" s="248"/>
      <c r="E146" s="248"/>
    </row>
    <row r="147" spans="2:5" ht="15.75">
      <c r="B147" s="285" t="s">
        <v>69</v>
      </c>
      <c r="C147" s="248"/>
      <c r="D147" s="248"/>
      <c r="E147" s="248"/>
    </row>
    <row r="148" spans="2:5" ht="15.75">
      <c r="B148" s="285" t="s">
        <v>70</v>
      </c>
      <c r="C148" s="248"/>
      <c r="D148" s="248"/>
      <c r="E148" s="248"/>
    </row>
    <row r="149" spans="2:5" ht="15.75">
      <c r="B149" s="285" t="s">
        <v>71</v>
      </c>
      <c r="C149" s="248"/>
      <c r="D149" s="248"/>
      <c r="E149" s="248"/>
    </row>
    <row r="150" spans="2:5" ht="15.75">
      <c r="B150" s="146" t="s">
        <v>19</v>
      </c>
      <c r="C150" s="262">
        <f>SUM(C146:C149)</f>
        <v>0</v>
      </c>
      <c r="D150" s="262">
        <f>SUM(D146:D149)</f>
        <v>0</v>
      </c>
      <c r="E150" s="262">
        <f>SUM(E146:E149)</f>
        <v>0</v>
      </c>
    </row>
    <row r="151" spans="2:5" ht="15.75">
      <c r="B151" s="284" t="s">
        <v>98</v>
      </c>
      <c r="C151" s="81"/>
      <c r="D151" s="81"/>
      <c r="E151" s="81"/>
    </row>
    <row r="152" spans="2:5" ht="15.75">
      <c r="B152" s="285" t="s">
        <v>68</v>
      </c>
      <c r="C152" s="248"/>
      <c r="D152" s="248"/>
      <c r="E152" s="248"/>
    </row>
    <row r="153" spans="2:5" ht="15.75">
      <c r="B153" s="285" t="s">
        <v>69</v>
      </c>
      <c r="C153" s="248"/>
      <c r="D153" s="248"/>
      <c r="E153" s="248"/>
    </row>
    <row r="154" spans="2:5" ht="15.75">
      <c r="B154" s="285" t="s">
        <v>70</v>
      </c>
      <c r="C154" s="248"/>
      <c r="D154" s="248"/>
      <c r="E154" s="248"/>
    </row>
    <row r="155" spans="2:5" ht="15.75">
      <c r="B155" s="285" t="s">
        <v>71</v>
      </c>
      <c r="C155" s="248"/>
      <c r="D155" s="248"/>
      <c r="E155" s="248"/>
    </row>
    <row r="156" spans="2:5" ht="15.75">
      <c r="B156" s="146" t="s">
        <v>19</v>
      </c>
      <c r="C156" s="262">
        <f>SUM(C152:C155)</f>
        <v>0</v>
      </c>
      <c r="D156" s="262">
        <f>SUM(D152:D155)</f>
        <v>0</v>
      </c>
      <c r="E156" s="262">
        <f>SUM(E152:E155)</f>
        <v>0</v>
      </c>
    </row>
    <row r="157" spans="2:5" ht="15.75">
      <c r="B157" s="284" t="s">
        <v>99</v>
      </c>
      <c r="C157" s="81"/>
      <c r="D157" s="81"/>
      <c r="E157" s="81"/>
    </row>
    <row r="158" spans="2:5" ht="15.75">
      <c r="B158" s="285" t="s">
        <v>68</v>
      </c>
      <c r="C158" s="248"/>
      <c r="D158" s="248"/>
      <c r="E158" s="248"/>
    </row>
    <row r="159" spans="2:5" ht="15.75">
      <c r="B159" s="285" t="s">
        <v>69</v>
      </c>
      <c r="C159" s="248"/>
      <c r="D159" s="248"/>
      <c r="E159" s="248"/>
    </row>
    <row r="160" spans="2:5" ht="15.75">
      <c r="B160" s="285" t="s">
        <v>70</v>
      </c>
      <c r="C160" s="248"/>
      <c r="D160" s="248"/>
      <c r="E160" s="248"/>
    </row>
    <row r="161" spans="2:5" ht="15.75">
      <c r="B161" s="285" t="s">
        <v>71</v>
      </c>
      <c r="C161" s="248"/>
      <c r="D161" s="248"/>
      <c r="E161" s="248"/>
    </row>
    <row r="162" spans="2:5" ht="15.75">
      <c r="B162" s="146" t="s">
        <v>19</v>
      </c>
      <c r="C162" s="262">
        <f>SUM(C158:C161)</f>
        <v>0</v>
      </c>
      <c r="D162" s="262">
        <f>SUM(D158:D161)</f>
        <v>0</v>
      </c>
      <c r="E162" s="262">
        <f>SUM(E158:E161)</f>
        <v>0</v>
      </c>
    </row>
    <row r="163" spans="2:5" ht="15.75">
      <c r="B163" s="284" t="s">
        <v>41</v>
      </c>
      <c r="C163" s="81"/>
      <c r="D163" s="81"/>
      <c r="E163" s="81"/>
    </row>
    <row r="164" spans="2:5" ht="15.75">
      <c r="B164" s="285" t="s">
        <v>68</v>
      </c>
      <c r="C164" s="248"/>
      <c r="D164" s="248"/>
      <c r="E164" s="248"/>
    </row>
    <row r="165" spans="2:5" ht="15.75">
      <c r="B165" s="285" t="s">
        <v>69</v>
      </c>
      <c r="C165" s="248"/>
      <c r="D165" s="248"/>
      <c r="E165" s="248"/>
    </row>
    <row r="166" spans="2:5" ht="15.75">
      <c r="B166" s="285" t="s">
        <v>70</v>
      </c>
      <c r="C166" s="248"/>
      <c r="D166" s="248"/>
      <c r="E166" s="248"/>
    </row>
    <row r="167" spans="2:5" ht="15.75">
      <c r="B167" s="285" t="s">
        <v>71</v>
      </c>
      <c r="C167" s="248"/>
      <c r="D167" s="248"/>
      <c r="E167" s="248"/>
    </row>
    <row r="168" spans="2:5" ht="15.75">
      <c r="B168" s="146" t="s">
        <v>19</v>
      </c>
      <c r="C168" s="262">
        <f>SUM(C164:C167)</f>
        <v>0</v>
      </c>
      <c r="D168" s="262">
        <f>SUM(D164:D167)</f>
        <v>0</v>
      </c>
      <c r="E168" s="262">
        <f>SUM(E164:E167)</f>
        <v>0</v>
      </c>
    </row>
    <row r="169" spans="2:5" ht="15.75">
      <c r="B169" s="284" t="s">
        <v>48</v>
      </c>
      <c r="C169" s="81"/>
      <c r="D169" s="81"/>
      <c r="E169" s="81"/>
    </row>
    <row r="170" spans="2:5" ht="15.75">
      <c r="B170" s="285" t="s">
        <v>68</v>
      </c>
      <c r="C170" s="248"/>
      <c r="D170" s="248"/>
      <c r="E170" s="248"/>
    </row>
    <row r="171" spans="2:5" ht="15.75">
      <c r="B171" s="285" t="s">
        <v>69</v>
      </c>
      <c r="C171" s="248"/>
      <c r="D171" s="248"/>
      <c r="E171" s="248"/>
    </row>
    <row r="172" spans="2:5" ht="15.75">
      <c r="B172" s="285" t="s">
        <v>70</v>
      </c>
      <c r="C172" s="248"/>
      <c r="D172" s="248"/>
      <c r="E172" s="248"/>
    </row>
    <row r="173" spans="2:5" ht="15.75">
      <c r="B173" s="285" t="s">
        <v>71</v>
      </c>
      <c r="C173" s="248"/>
      <c r="D173" s="248"/>
      <c r="E173" s="248"/>
    </row>
    <row r="174" spans="2:5" ht="15.75">
      <c r="B174" s="146" t="s">
        <v>19</v>
      </c>
      <c r="C174" s="262">
        <f>SUM(C170:C173)</f>
        <v>0</v>
      </c>
      <c r="D174" s="262">
        <f>SUM(D170:D173)</f>
        <v>0</v>
      </c>
      <c r="E174" s="262">
        <f>SUM(E170:E173)</f>
        <v>0</v>
      </c>
    </row>
    <row r="175" spans="2:5" ht="15.75">
      <c r="B175" s="146"/>
      <c r="C175" s="81"/>
      <c r="D175" s="81"/>
      <c r="E175" s="81"/>
    </row>
    <row r="176" spans="2:5" ht="15.75">
      <c r="B176" s="146" t="s">
        <v>213</v>
      </c>
      <c r="C176" s="253">
        <f>C132+C138+C144+C150+C156+C162+C168+C174</f>
        <v>0</v>
      </c>
      <c r="D176" s="253">
        <f>D132+D138+D144+D150+D156+D162+D168+D174</f>
        <v>0</v>
      </c>
      <c r="E176" s="253">
        <f>E132+E138+E144+E150+E156+E162+E168+E174</f>
        <v>0</v>
      </c>
    </row>
    <row r="177" spans="2:5" ht="15.75">
      <c r="B177" s="45"/>
      <c r="C177" s="160"/>
      <c r="D177" s="160"/>
      <c r="E177" s="160"/>
    </row>
    <row r="178" spans="2:5" ht="15.75">
      <c r="B178" s="828" t="s">
        <v>787</v>
      </c>
      <c r="C178" s="828"/>
      <c r="D178" s="828"/>
      <c r="E178" s="828"/>
    </row>
    <row r="179" spans="2:5" ht="15.75">
      <c r="B179" s="160">
        <f>inputPrYr!C3</f>
        <v>0</v>
      </c>
      <c r="C179" s="160"/>
      <c r="D179" s="44"/>
      <c r="E179" s="287">
        <f>E1</f>
        <v>0</v>
      </c>
    </row>
    <row r="180" spans="2:5" ht="15.75">
      <c r="B180" s="45"/>
      <c r="C180" s="160"/>
      <c r="D180" s="160"/>
      <c r="E180" s="44"/>
    </row>
    <row r="181" spans="2:5" ht="15.75">
      <c r="B181" s="254" t="s">
        <v>159</v>
      </c>
      <c r="C181" s="110"/>
      <c r="D181" s="110"/>
      <c r="E181" s="110"/>
    </row>
    <row r="182" spans="2:5" ht="15.75">
      <c r="B182" s="45" t="s">
        <v>49</v>
      </c>
      <c r="C182" s="447" t="str">
        <f aca="true" t="shared" si="2" ref="C182:E183">C4</f>
        <v>Prior Year </v>
      </c>
      <c r="D182" s="448" t="str">
        <f t="shared" si="2"/>
        <v>Current Year </v>
      </c>
      <c r="E182" s="448" t="str">
        <f t="shared" si="2"/>
        <v>Proposed Budget </v>
      </c>
    </row>
    <row r="183" spans="2:5" ht="15.75">
      <c r="B183" s="68" t="s">
        <v>66</v>
      </c>
      <c r="C183" s="256" t="str">
        <f t="shared" si="2"/>
        <v>Actual for -2</v>
      </c>
      <c r="D183" s="256" t="str">
        <f t="shared" si="2"/>
        <v>Estimate for -1</v>
      </c>
      <c r="E183" s="256" t="str">
        <f t="shared" si="2"/>
        <v>Year for 0</v>
      </c>
    </row>
    <row r="184" spans="2:5" ht="15.75">
      <c r="B184" s="146" t="s">
        <v>62</v>
      </c>
      <c r="C184" s="81"/>
      <c r="D184" s="81"/>
      <c r="E184" s="81"/>
    </row>
    <row r="185" spans="2:5" ht="15.75">
      <c r="B185" s="284" t="s">
        <v>100</v>
      </c>
      <c r="C185" s="81"/>
      <c r="D185" s="81"/>
      <c r="E185" s="81"/>
    </row>
    <row r="186" spans="2:5" ht="15.75">
      <c r="B186" s="285" t="s">
        <v>68</v>
      </c>
      <c r="C186" s="248"/>
      <c r="D186" s="248"/>
      <c r="E186" s="248"/>
    </row>
    <row r="187" spans="2:5" ht="15.75">
      <c r="B187" s="285" t="s">
        <v>69</v>
      </c>
      <c r="C187" s="248"/>
      <c r="D187" s="248"/>
      <c r="E187" s="248"/>
    </row>
    <row r="188" spans="2:5" ht="15.75">
      <c r="B188" s="285" t="s">
        <v>70</v>
      </c>
      <c r="C188" s="248"/>
      <c r="D188" s="248"/>
      <c r="E188" s="248"/>
    </row>
    <row r="189" spans="2:5" ht="15.75">
      <c r="B189" s="285" t="s">
        <v>71</v>
      </c>
      <c r="C189" s="248"/>
      <c r="D189" s="248"/>
      <c r="E189" s="248"/>
    </row>
    <row r="190" spans="2:5" ht="15.75">
      <c r="B190" s="146" t="s">
        <v>19</v>
      </c>
      <c r="C190" s="262">
        <f>SUM(C186:C189)</f>
        <v>0</v>
      </c>
      <c r="D190" s="262">
        <f>SUM(D186:D189)</f>
        <v>0</v>
      </c>
      <c r="E190" s="262">
        <f>SUM(E186:E189)</f>
        <v>0</v>
      </c>
    </row>
    <row r="191" spans="2:5" ht="15.75">
      <c r="B191" s="284" t="s">
        <v>101</v>
      </c>
      <c r="C191" s="81"/>
      <c r="D191" s="81"/>
      <c r="E191" s="81"/>
    </row>
    <row r="192" spans="2:5" ht="15.75">
      <c r="B192" s="285" t="s">
        <v>68</v>
      </c>
      <c r="C192" s="248"/>
      <c r="D192" s="248"/>
      <c r="E192" s="248"/>
    </row>
    <row r="193" spans="2:5" ht="15.75">
      <c r="B193" s="285" t="s">
        <v>69</v>
      </c>
      <c r="C193" s="248"/>
      <c r="D193" s="248"/>
      <c r="E193" s="248"/>
    </row>
    <row r="194" spans="2:5" ht="15.75">
      <c r="B194" s="285" t="s">
        <v>70</v>
      </c>
      <c r="C194" s="248"/>
      <c r="D194" s="248"/>
      <c r="E194" s="248"/>
    </row>
    <row r="195" spans="2:5" ht="15.75">
      <c r="B195" s="285" t="s">
        <v>71</v>
      </c>
      <c r="C195" s="248"/>
      <c r="D195" s="248"/>
      <c r="E195" s="248"/>
    </row>
    <row r="196" spans="2:5" ht="15.75">
      <c r="B196" s="146" t="s">
        <v>19</v>
      </c>
      <c r="C196" s="262">
        <f>SUM(C192:C195)</f>
        <v>0</v>
      </c>
      <c r="D196" s="262">
        <f>SUM(D192:D195)</f>
        <v>0</v>
      </c>
      <c r="E196" s="262">
        <f>SUM(E192:E195)</f>
        <v>0</v>
      </c>
    </row>
    <row r="197" spans="2:5" ht="15.75">
      <c r="B197" s="284" t="s">
        <v>102</v>
      </c>
      <c r="C197" s="81"/>
      <c r="D197" s="81"/>
      <c r="E197" s="81"/>
    </row>
    <row r="198" spans="2:5" ht="15.75">
      <c r="B198" s="285" t="s">
        <v>68</v>
      </c>
      <c r="C198" s="248"/>
      <c r="D198" s="248"/>
      <c r="E198" s="248"/>
    </row>
    <row r="199" spans="2:5" ht="15.75">
      <c r="B199" s="285" t="s">
        <v>69</v>
      </c>
      <c r="C199" s="248"/>
      <c r="D199" s="248"/>
      <c r="E199" s="248"/>
    </row>
    <row r="200" spans="2:5" ht="15.75">
      <c r="B200" s="285" t="s">
        <v>70</v>
      </c>
      <c r="C200" s="248"/>
      <c r="D200" s="248"/>
      <c r="E200" s="248"/>
    </row>
    <row r="201" spans="2:5" ht="15.75">
      <c r="B201" s="285" t="s">
        <v>71</v>
      </c>
      <c r="C201" s="248"/>
      <c r="D201" s="248"/>
      <c r="E201" s="248"/>
    </row>
    <row r="202" spans="2:5" ht="15.75">
      <c r="B202" s="146" t="s">
        <v>19</v>
      </c>
      <c r="C202" s="262">
        <f>SUM(C198:C201)</f>
        <v>0</v>
      </c>
      <c r="D202" s="262">
        <f>SUM(D198:D201)</f>
        <v>0</v>
      </c>
      <c r="E202" s="262">
        <f>SUM(E198:E201)</f>
        <v>0</v>
      </c>
    </row>
    <row r="203" spans="2:5" ht="15.75">
      <c r="B203" s="284" t="s">
        <v>40</v>
      </c>
      <c r="C203" s="81"/>
      <c r="D203" s="81"/>
      <c r="E203" s="81"/>
    </row>
    <row r="204" spans="2:5" ht="15.75">
      <c r="B204" s="285" t="s">
        <v>68</v>
      </c>
      <c r="C204" s="248"/>
      <c r="D204" s="248"/>
      <c r="E204" s="248"/>
    </row>
    <row r="205" spans="2:5" ht="15.75">
      <c r="B205" s="285" t="s">
        <v>69</v>
      </c>
      <c r="C205" s="248"/>
      <c r="D205" s="248"/>
      <c r="E205" s="248"/>
    </row>
    <row r="206" spans="2:5" ht="15.75">
      <c r="B206" s="285" t="s">
        <v>70</v>
      </c>
      <c r="C206" s="248"/>
      <c r="D206" s="248"/>
      <c r="E206" s="248"/>
    </row>
    <row r="207" spans="2:5" ht="15.75">
      <c r="B207" s="285" t="s">
        <v>71</v>
      </c>
      <c r="C207" s="248"/>
      <c r="D207" s="248"/>
      <c r="E207" s="248"/>
    </row>
    <row r="208" spans="2:5" ht="15.75">
      <c r="B208" s="146" t="s">
        <v>19</v>
      </c>
      <c r="C208" s="262">
        <f>SUM(C204:C207)</f>
        <v>0</v>
      </c>
      <c r="D208" s="262">
        <f>SUM(D204:D207)</f>
        <v>0</v>
      </c>
      <c r="E208" s="262">
        <f>SUM(E204:E207)</f>
        <v>0</v>
      </c>
    </row>
    <row r="209" spans="2:5" ht="15.75">
      <c r="B209" s="284" t="s">
        <v>103</v>
      </c>
      <c r="C209" s="81"/>
      <c r="D209" s="81"/>
      <c r="E209" s="81"/>
    </row>
    <row r="210" spans="2:5" ht="15.75">
      <c r="B210" s="285" t="s">
        <v>68</v>
      </c>
      <c r="C210" s="248"/>
      <c r="D210" s="248"/>
      <c r="E210" s="248"/>
    </row>
    <row r="211" spans="2:5" ht="15.75">
      <c r="B211" s="285" t="s">
        <v>69</v>
      </c>
      <c r="C211" s="248"/>
      <c r="D211" s="248"/>
      <c r="E211" s="248"/>
    </row>
    <row r="212" spans="2:5" ht="15.75">
      <c r="B212" s="285" t="s">
        <v>70</v>
      </c>
      <c r="C212" s="248"/>
      <c r="D212" s="248"/>
      <c r="E212" s="248"/>
    </row>
    <row r="213" spans="2:5" ht="15.75">
      <c r="B213" s="285" t="s">
        <v>71</v>
      </c>
      <c r="C213" s="248"/>
      <c r="D213" s="248"/>
      <c r="E213" s="248"/>
    </row>
    <row r="214" spans="2:5" ht="15.75">
      <c r="B214" s="146" t="s">
        <v>19</v>
      </c>
      <c r="C214" s="262">
        <f>SUM(C210:C213)</f>
        <v>0</v>
      </c>
      <c r="D214" s="262">
        <f>SUM(D210:D213)</f>
        <v>0</v>
      </c>
      <c r="E214" s="262">
        <f>SUM(E210:E213)</f>
        <v>0</v>
      </c>
    </row>
    <row r="215" spans="2:5" ht="15.75">
      <c r="B215" s="284" t="s">
        <v>104</v>
      </c>
      <c r="C215" s="81"/>
      <c r="D215" s="81"/>
      <c r="E215" s="81"/>
    </row>
    <row r="216" spans="2:5" ht="15.75">
      <c r="B216" s="285" t="s">
        <v>68</v>
      </c>
      <c r="C216" s="248"/>
      <c r="D216" s="248"/>
      <c r="E216" s="248"/>
    </row>
    <row r="217" spans="2:5" ht="15.75">
      <c r="B217" s="285" t="s">
        <v>69</v>
      </c>
      <c r="C217" s="248"/>
      <c r="D217" s="248"/>
      <c r="E217" s="248"/>
    </row>
    <row r="218" spans="2:5" ht="15.75">
      <c r="B218" s="285" t="s">
        <v>70</v>
      </c>
      <c r="C218" s="248"/>
      <c r="D218" s="248"/>
      <c r="E218" s="248"/>
    </row>
    <row r="219" spans="2:5" ht="15.75">
      <c r="B219" s="285" t="s">
        <v>71</v>
      </c>
      <c r="C219" s="248"/>
      <c r="D219" s="248"/>
      <c r="E219" s="248"/>
    </row>
    <row r="220" spans="2:5" ht="15.75">
      <c r="B220" s="146" t="s">
        <v>19</v>
      </c>
      <c r="C220" s="262">
        <f>SUM(C216:C219)</f>
        <v>0</v>
      </c>
      <c r="D220" s="262">
        <f>SUM(D216:D219)</f>
        <v>0</v>
      </c>
      <c r="E220" s="262">
        <f>SUM(E216:E219)</f>
        <v>0</v>
      </c>
    </row>
    <row r="221" spans="2:5" ht="15.75">
      <c r="B221" s="284" t="s">
        <v>105</v>
      </c>
      <c r="C221" s="81"/>
      <c r="D221" s="81"/>
      <c r="E221" s="81"/>
    </row>
    <row r="222" spans="2:5" ht="15.75">
      <c r="B222" s="285" t="s">
        <v>68</v>
      </c>
      <c r="C222" s="248"/>
      <c r="D222" s="248"/>
      <c r="E222" s="248"/>
    </row>
    <row r="223" spans="2:5" ht="15.75">
      <c r="B223" s="285" t="s">
        <v>69</v>
      </c>
      <c r="C223" s="248"/>
      <c r="D223" s="248"/>
      <c r="E223" s="248"/>
    </row>
    <row r="224" spans="2:5" ht="15.75">
      <c r="B224" s="285" t="s">
        <v>70</v>
      </c>
      <c r="C224" s="248"/>
      <c r="D224" s="248"/>
      <c r="E224" s="248"/>
    </row>
    <row r="225" spans="2:5" ht="15.75">
      <c r="B225" s="285" t="s">
        <v>71</v>
      </c>
      <c r="C225" s="248"/>
      <c r="D225" s="248"/>
      <c r="E225" s="248"/>
    </row>
    <row r="226" spans="2:5" ht="15.75">
      <c r="B226" s="146" t="s">
        <v>19</v>
      </c>
      <c r="C226" s="262">
        <f>SUM(C222:C225)</f>
        <v>0</v>
      </c>
      <c r="D226" s="262">
        <f>SUM(D222:D225)</f>
        <v>0</v>
      </c>
      <c r="E226" s="262">
        <f>SUM(E222:E225)</f>
        <v>0</v>
      </c>
    </row>
    <row r="227" spans="2:5" ht="15.75">
      <c r="B227" s="284" t="s">
        <v>106</v>
      </c>
      <c r="C227" s="81"/>
      <c r="D227" s="81"/>
      <c r="E227" s="81"/>
    </row>
    <row r="228" spans="2:5" ht="15.75">
      <c r="B228" s="285" t="s">
        <v>68</v>
      </c>
      <c r="C228" s="248"/>
      <c r="D228" s="248"/>
      <c r="E228" s="248"/>
    </row>
    <row r="229" spans="2:5" ht="15.75">
      <c r="B229" s="285" t="s">
        <v>69</v>
      </c>
      <c r="C229" s="248"/>
      <c r="D229" s="248"/>
      <c r="E229" s="248"/>
    </row>
    <row r="230" spans="2:5" ht="15.75">
      <c r="B230" s="285" t="s">
        <v>70</v>
      </c>
      <c r="C230" s="248"/>
      <c r="D230" s="248"/>
      <c r="E230" s="248"/>
    </row>
    <row r="231" spans="2:5" ht="15.75">
      <c r="B231" s="285" t="s">
        <v>71</v>
      </c>
      <c r="C231" s="248"/>
      <c r="D231" s="248"/>
      <c r="E231" s="248"/>
    </row>
    <row r="232" spans="2:5" ht="15.75">
      <c r="B232" s="146" t="s">
        <v>19</v>
      </c>
      <c r="C232" s="262">
        <f>SUM(C228:C231)</f>
        <v>0</v>
      </c>
      <c r="D232" s="262">
        <f>SUM(D228:D231)</f>
        <v>0</v>
      </c>
      <c r="E232" s="262">
        <f>SUM(E228:E231)</f>
        <v>0</v>
      </c>
    </row>
    <row r="233" spans="2:5" ht="15.75">
      <c r="B233" s="284" t="s">
        <v>107</v>
      </c>
      <c r="C233" s="81"/>
      <c r="D233" s="81"/>
      <c r="E233" s="81"/>
    </row>
    <row r="234" spans="2:5" ht="15.75">
      <c r="B234" s="285" t="s">
        <v>68</v>
      </c>
      <c r="C234" s="248"/>
      <c r="D234" s="248"/>
      <c r="E234" s="248"/>
    </row>
    <row r="235" spans="2:5" ht="15.75">
      <c r="B235" s="285" t="s">
        <v>69</v>
      </c>
      <c r="C235" s="248"/>
      <c r="D235" s="248"/>
      <c r="E235" s="248"/>
    </row>
    <row r="236" spans="2:5" ht="15.75">
      <c r="B236" s="285" t="s">
        <v>70</v>
      </c>
      <c r="C236" s="248"/>
      <c r="D236" s="248"/>
      <c r="E236" s="248"/>
    </row>
    <row r="237" spans="2:5" ht="15.75">
      <c r="B237" s="285" t="s">
        <v>71</v>
      </c>
      <c r="C237" s="248"/>
      <c r="D237" s="248"/>
      <c r="E237" s="248"/>
    </row>
    <row r="238" spans="2:5" ht="15.75">
      <c r="B238" s="146" t="s">
        <v>19</v>
      </c>
      <c r="C238" s="262">
        <f>SUM(C234:C237)</f>
        <v>0</v>
      </c>
      <c r="D238" s="262">
        <f>SUM(D234:D237)</f>
        <v>0</v>
      </c>
      <c r="E238" s="262">
        <f>SUM(E234:E237)</f>
        <v>0</v>
      </c>
    </row>
    <row r="239" spans="2:5" ht="15.75">
      <c r="B239" s="146"/>
      <c r="C239" s="81"/>
      <c r="D239" s="81"/>
      <c r="E239" s="81"/>
    </row>
    <row r="240" spans="2:5" ht="15.75">
      <c r="B240" s="146" t="s">
        <v>214</v>
      </c>
      <c r="C240" s="253">
        <f>C190+C196+C202+C208+C214+C220+C222+C232+C238</f>
        <v>0</v>
      </c>
      <c r="D240" s="253">
        <f>D190+D196+D202+D208+D214+D220+D222+D232+D238</f>
        <v>0</v>
      </c>
      <c r="E240" s="253">
        <f>E190+E196+E202+E208+E214+E220+E222+E232+E238</f>
        <v>0</v>
      </c>
    </row>
    <row r="241" spans="2:5" ht="15.75">
      <c r="B241" s="45"/>
      <c r="C241" s="160"/>
      <c r="D241" s="160"/>
      <c r="E241" s="160"/>
    </row>
    <row r="242" spans="2:5" ht="15.75">
      <c r="B242" s="828" t="s">
        <v>786</v>
      </c>
      <c r="C242" s="828"/>
      <c r="D242" s="828"/>
      <c r="E242" s="828"/>
    </row>
    <row r="243" spans="2:5" ht="15.75">
      <c r="B243" s="160">
        <f>inputPrYr!C3</f>
        <v>0</v>
      </c>
      <c r="C243" s="160"/>
      <c r="D243" s="44"/>
      <c r="E243" s="287">
        <f>E1</f>
        <v>0</v>
      </c>
    </row>
    <row r="244" spans="2:5" ht="15.75">
      <c r="B244" s="45"/>
      <c r="C244" s="160"/>
      <c r="D244" s="160"/>
      <c r="E244" s="44"/>
    </row>
    <row r="245" spans="2:5" ht="15.75">
      <c r="B245" s="254" t="s">
        <v>159</v>
      </c>
      <c r="C245" s="110"/>
      <c r="D245" s="110"/>
      <c r="E245" s="110"/>
    </row>
    <row r="246" spans="2:5" ht="15.75">
      <c r="B246" s="45" t="s">
        <v>49</v>
      </c>
      <c r="C246" s="447" t="str">
        <f aca="true" t="shared" si="3" ref="C246:E247">C4</f>
        <v>Prior Year </v>
      </c>
      <c r="D246" s="448" t="str">
        <f t="shared" si="3"/>
        <v>Current Year </v>
      </c>
      <c r="E246" s="448" t="str">
        <f t="shared" si="3"/>
        <v>Proposed Budget </v>
      </c>
    </row>
    <row r="247" spans="2:5" ht="15.75">
      <c r="B247" s="68" t="s">
        <v>66</v>
      </c>
      <c r="C247" s="256" t="str">
        <f t="shared" si="3"/>
        <v>Actual for -2</v>
      </c>
      <c r="D247" s="256" t="str">
        <f t="shared" si="3"/>
        <v>Estimate for -1</v>
      </c>
      <c r="E247" s="256" t="str">
        <f t="shared" si="3"/>
        <v>Year for 0</v>
      </c>
    </row>
    <row r="248" spans="2:5" ht="15.75">
      <c r="B248" s="206" t="s">
        <v>62</v>
      </c>
      <c r="C248" s="81"/>
      <c r="D248" s="81"/>
      <c r="E248" s="81"/>
    </row>
    <row r="249" spans="2:5" ht="15.75">
      <c r="B249" s="284" t="s">
        <v>108</v>
      </c>
      <c r="C249" s="81"/>
      <c r="D249" s="81"/>
      <c r="E249" s="81"/>
    </row>
    <row r="250" spans="2:5" ht="15.75">
      <c r="B250" s="285" t="s">
        <v>68</v>
      </c>
      <c r="C250" s="248"/>
      <c r="D250" s="248"/>
      <c r="E250" s="248"/>
    </row>
    <row r="251" spans="2:5" ht="15.75">
      <c r="B251" s="285" t="s">
        <v>69</v>
      </c>
      <c r="C251" s="248"/>
      <c r="D251" s="248"/>
      <c r="E251" s="248"/>
    </row>
    <row r="252" spans="2:5" ht="15.75">
      <c r="B252" s="285" t="s">
        <v>70</v>
      </c>
      <c r="C252" s="248"/>
      <c r="D252" s="248"/>
      <c r="E252" s="248"/>
    </row>
    <row r="253" spans="2:5" ht="15.75">
      <c r="B253" s="285" t="s">
        <v>71</v>
      </c>
      <c r="C253" s="248"/>
      <c r="D253" s="248"/>
      <c r="E253" s="248"/>
    </row>
    <row r="254" spans="2:5" ht="15.75">
      <c r="B254" s="146" t="s">
        <v>19</v>
      </c>
      <c r="C254" s="262">
        <f>SUM(C250:C253)</f>
        <v>0</v>
      </c>
      <c r="D254" s="262">
        <f>SUM(D250:D253)</f>
        <v>0</v>
      </c>
      <c r="E254" s="262">
        <f>SUM(E250:E253)</f>
        <v>0</v>
      </c>
    </row>
    <row r="255" spans="2:5" ht="15.75">
      <c r="B255" s="284" t="s">
        <v>109</v>
      </c>
      <c r="C255" s="81"/>
      <c r="D255" s="81"/>
      <c r="E255" s="81"/>
    </row>
    <row r="256" spans="2:5" ht="15.75">
      <c r="B256" s="285" t="s">
        <v>68</v>
      </c>
      <c r="C256" s="248"/>
      <c r="D256" s="248"/>
      <c r="E256" s="248"/>
    </row>
    <row r="257" spans="2:5" ht="15.75">
      <c r="B257" s="285" t="s">
        <v>69</v>
      </c>
      <c r="C257" s="248"/>
      <c r="D257" s="248"/>
      <c r="E257" s="248"/>
    </row>
    <row r="258" spans="2:5" ht="15.75">
      <c r="B258" s="285" t="s">
        <v>70</v>
      </c>
      <c r="C258" s="248"/>
      <c r="D258" s="248"/>
      <c r="E258" s="248"/>
    </row>
    <row r="259" spans="2:5" ht="15.75">
      <c r="B259" s="285" t="s">
        <v>71</v>
      </c>
      <c r="C259" s="248"/>
      <c r="D259" s="248"/>
      <c r="E259" s="248"/>
    </row>
    <row r="260" spans="2:5" ht="15.75">
      <c r="B260" s="146" t="s">
        <v>19</v>
      </c>
      <c r="C260" s="262">
        <f>SUM(C256:C259)</f>
        <v>0</v>
      </c>
      <c r="D260" s="262">
        <f>SUM(D256:D259)</f>
        <v>0</v>
      </c>
      <c r="E260" s="262">
        <f>SUM(E256:E259)</f>
        <v>0</v>
      </c>
    </row>
    <row r="261" spans="2:5" ht="15.75">
      <c r="B261" s="284" t="s">
        <v>110</v>
      </c>
      <c r="C261" s="81"/>
      <c r="D261" s="81"/>
      <c r="E261" s="81"/>
    </row>
    <row r="262" spans="2:5" ht="15.75">
      <c r="B262" s="285" t="s">
        <v>68</v>
      </c>
      <c r="C262" s="248"/>
      <c r="D262" s="248"/>
      <c r="E262" s="248"/>
    </row>
    <row r="263" spans="2:5" ht="15.75">
      <c r="B263" s="285" t="s">
        <v>69</v>
      </c>
      <c r="C263" s="248"/>
      <c r="D263" s="248"/>
      <c r="E263" s="248"/>
    </row>
    <row r="264" spans="2:5" ht="15.75">
      <c r="B264" s="285" t="s">
        <v>70</v>
      </c>
      <c r="C264" s="248"/>
      <c r="D264" s="248"/>
      <c r="E264" s="248"/>
    </row>
    <row r="265" spans="2:5" ht="15.75">
      <c r="B265" s="285" t="s">
        <v>71</v>
      </c>
      <c r="C265" s="248"/>
      <c r="D265" s="248"/>
      <c r="E265" s="248"/>
    </row>
    <row r="266" spans="2:5" ht="15.75">
      <c r="B266" s="146" t="s">
        <v>19</v>
      </c>
      <c r="C266" s="262">
        <f>SUM(C262:C265)</f>
        <v>0</v>
      </c>
      <c r="D266" s="262">
        <f>SUM(D262:D265)</f>
        <v>0</v>
      </c>
      <c r="E266" s="262">
        <f>SUM(E262:E265)</f>
        <v>0</v>
      </c>
    </row>
    <row r="267" spans="2:5" ht="15.75">
      <c r="B267" s="284" t="s">
        <v>113</v>
      </c>
      <c r="C267" s="81"/>
      <c r="D267" s="81"/>
      <c r="E267" s="81"/>
    </row>
    <row r="268" spans="2:5" ht="15.75">
      <c r="B268" s="285" t="s">
        <v>68</v>
      </c>
      <c r="C268" s="248"/>
      <c r="D268" s="248"/>
      <c r="E268" s="248"/>
    </row>
    <row r="269" spans="2:5" ht="15.75">
      <c r="B269" s="285" t="s">
        <v>69</v>
      </c>
      <c r="C269" s="248"/>
      <c r="D269" s="248"/>
      <c r="E269" s="248"/>
    </row>
    <row r="270" spans="2:5" ht="15.75">
      <c r="B270" s="285" t="s">
        <v>70</v>
      </c>
      <c r="C270" s="248"/>
      <c r="D270" s="248"/>
      <c r="E270" s="248"/>
    </row>
    <row r="271" spans="2:5" ht="15.75">
      <c r="B271" s="285" t="s">
        <v>71</v>
      </c>
      <c r="C271" s="248"/>
      <c r="D271" s="248"/>
      <c r="E271" s="248"/>
    </row>
    <row r="272" spans="2:5" ht="15.75">
      <c r="B272" s="146" t="s">
        <v>19</v>
      </c>
      <c r="C272" s="262">
        <f>SUM(C268:C271)</f>
        <v>0</v>
      </c>
      <c r="D272" s="262">
        <f>SUM(D268:D271)</f>
        <v>0</v>
      </c>
      <c r="E272" s="262">
        <f>SUM(E268:E271)</f>
        <v>0</v>
      </c>
    </row>
    <row r="273" spans="2:5" ht="15.75">
      <c r="B273" s="284" t="s">
        <v>111</v>
      </c>
      <c r="C273" s="81"/>
      <c r="D273" s="81"/>
      <c r="E273" s="81"/>
    </row>
    <row r="274" spans="2:5" ht="15.75">
      <c r="B274" s="285" t="s">
        <v>69</v>
      </c>
      <c r="C274" s="248"/>
      <c r="D274" s="248"/>
      <c r="E274" s="248"/>
    </row>
    <row r="275" spans="2:5" ht="15.75">
      <c r="B275" s="285" t="s">
        <v>112</v>
      </c>
      <c r="C275" s="248"/>
      <c r="D275" s="248"/>
      <c r="E275" s="248"/>
    </row>
    <row r="276" spans="2:5" ht="15.75">
      <c r="B276" s="146" t="s">
        <v>19</v>
      </c>
      <c r="C276" s="262">
        <f>SUM(C274:C275)</f>
        <v>0</v>
      </c>
      <c r="D276" s="262">
        <f>SUM(D274:D275)</f>
        <v>0</v>
      </c>
      <c r="E276" s="262">
        <f>SUM(E274:E275)</f>
        <v>0</v>
      </c>
    </row>
    <row r="277" spans="2:5" ht="15.75">
      <c r="B277" s="284"/>
      <c r="C277" s="81"/>
      <c r="D277" s="81"/>
      <c r="E277" s="81"/>
    </row>
    <row r="278" spans="2:5" ht="15.75">
      <c r="B278" s="285" t="s">
        <v>68</v>
      </c>
      <c r="C278" s="248"/>
      <c r="D278" s="248"/>
      <c r="E278" s="248"/>
    </row>
    <row r="279" spans="2:5" ht="15.75">
      <c r="B279" s="285" t="s">
        <v>69</v>
      </c>
      <c r="C279" s="248"/>
      <c r="D279" s="248"/>
      <c r="E279" s="248"/>
    </row>
    <row r="280" spans="2:5" ht="15.75">
      <c r="B280" s="285" t="s">
        <v>70</v>
      </c>
      <c r="C280" s="248"/>
      <c r="D280" s="248"/>
      <c r="E280" s="248"/>
    </row>
    <row r="281" spans="2:5" ht="15.75">
      <c r="B281" s="285" t="s">
        <v>71</v>
      </c>
      <c r="C281" s="248"/>
      <c r="D281" s="248"/>
      <c r="E281" s="248"/>
    </row>
    <row r="282" spans="2:5" ht="15.75">
      <c r="B282" s="146" t="s">
        <v>19</v>
      </c>
      <c r="C282" s="262">
        <f>SUM(C278:C281)</f>
        <v>0</v>
      </c>
      <c r="D282" s="262">
        <f>SUM(D278:D281)</f>
        <v>0</v>
      </c>
      <c r="E282" s="262">
        <f>SUM(E278:E281)</f>
        <v>0</v>
      </c>
    </row>
    <row r="283" spans="2:5" ht="15.75">
      <c r="B283" s="284"/>
      <c r="C283" s="81"/>
      <c r="D283" s="81"/>
      <c r="E283" s="81"/>
    </row>
    <row r="284" spans="2:5" ht="15.75">
      <c r="B284" s="285" t="s">
        <v>68</v>
      </c>
      <c r="C284" s="248"/>
      <c r="D284" s="248"/>
      <c r="E284" s="248"/>
    </row>
    <row r="285" spans="2:5" ht="15.75">
      <c r="B285" s="285" t="s">
        <v>69</v>
      </c>
      <c r="C285" s="248"/>
      <c r="D285" s="248"/>
      <c r="E285" s="248"/>
    </row>
    <row r="286" spans="2:5" ht="15.75">
      <c r="B286" s="285" t="s">
        <v>70</v>
      </c>
      <c r="C286" s="248"/>
      <c r="D286" s="248"/>
      <c r="E286" s="248"/>
    </row>
    <row r="287" spans="2:5" ht="15.75">
      <c r="B287" s="285" t="s">
        <v>71</v>
      </c>
      <c r="C287" s="248"/>
      <c r="D287" s="248"/>
      <c r="E287" s="248"/>
    </row>
    <row r="288" spans="2:5" ht="15.75">
      <c r="B288" s="246" t="s">
        <v>19</v>
      </c>
      <c r="C288" s="262">
        <f>SUM(C284:C287)</f>
        <v>0</v>
      </c>
      <c r="D288" s="262">
        <f>SUM(D284:D287)</f>
        <v>0</v>
      </c>
      <c r="E288" s="262">
        <f>SUM(E284:E287)</f>
        <v>0</v>
      </c>
    </row>
    <row r="289" spans="2:5" ht="15.75">
      <c r="B289" s="146"/>
      <c r="C289" s="81"/>
      <c r="D289" s="81"/>
      <c r="E289" s="81"/>
    </row>
    <row r="290" spans="2:5" ht="15.75">
      <c r="B290" s="146" t="s">
        <v>215</v>
      </c>
      <c r="C290" s="262">
        <f>C254+C260+C266+C272+C276+C282+C288</f>
        <v>0</v>
      </c>
      <c r="D290" s="262">
        <f>D254+D260+D266+D272+D276+D282+D288</f>
        <v>0</v>
      </c>
      <c r="E290" s="262">
        <f>E254+E260+E266+E272+E276+E282+E288</f>
        <v>0</v>
      </c>
    </row>
    <row r="291" spans="2:5" ht="15.75">
      <c r="B291" s="146"/>
      <c r="C291" s="81"/>
      <c r="D291" s="81"/>
      <c r="E291" s="81"/>
    </row>
    <row r="292" spans="2:5" ht="15.75">
      <c r="B292" s="146" t="s">
        <v>216</v>
      </c>
      <c r="C292" s="262">
        <f>C57</f>
        <v>0</v>
      </c>
      <c r="D292" s="262">
        <f>D57</f>
        <v>0</v>
      </c>
      <c r="E292" s="262">
        <f>E57</f>
        <v>0</v>
      </c>
    </row>
    <row r="293" spans="2:5" ht="15.75">
      <c r="B293" s="45"/>
      <c r="C293" s="81"/>
      <c r="D293" s="81"/>
      <c r="E293" s="81"/>
    </row>
    <row r="294" spans="2:5" ht="15.75">
      <c r="B294" s="146" t="s">
        <v>212</v>
      </c>
      <c r="C294" s="262">
        <f>C116</f>
        <v>0</v>
      </c>
      <c r="D294" s="262">
        <f>D116</f>
        <v>0</v>
      </c>
      <c r="E294" s="262">
        <f>E116</f>
        <v>0</v>
      </c>
    </row>
    <row r="295" spans="2:5" ht="15.75">
      <c r="B295" s="45"/>
      <c r="C295" s="81"/>
      <c r="D295" s="81"/>
      <c r="E295" s="81"/>
    </row>
    <row r="296" spans="2:5" ht="15.75">
      <c r="B296" s="146" t="s">
        <v>213</v>
      </c>
      <c r="C296" s="262">
        <f>C176</f>
        <v>0</v>
      </c>
      <c r="D296" s="262">
        <f>D176</f>
        <v>0</v>
      </c>
      <c r="E296" s="262">
        <f>E176</f>
        <v>0</v>
      </c>
    </row>
    <row r="297" spans="2:5" ht="15.75">
      <c r="B297" s="45"/>
      <c r="C297" s="81"/>
      <c r="D297" s="81"/>
      <c r="E297" s="81"/>
    </row>
    <row r="298" spans="2:5" ht="15.75">
      <c r="B298" s="146" t="s">
        <v>214</v>
      </c>
      <c r="C298" s="262">
        <f>C240</f>
        <v>0</v>
      </c>
      <c r="D298" s="262">
        <f>D240</f>
        <v>0</v>
      </c>
      <c r="E298" s="262">
        <f>E240</f>
        <v>0</v>
      </c>
    </row>
    <row r="299" spans="2:5" ht="15.75">
      <c r="B299" s="45"/>
      <c r="C299" s="81"/>
      <c r="D299" s="81"/>
      <c r="E299" s="81"/>
    </row>
    <row r="300" spans="2:5" ht="16.5" thickBot="1">
      <c r="B300" s="146" t="s">
        <v>263</v>
      </c>
      <c r="C300" s="288">
        <f>SUM(C290:C299)</f>
        <v>0</v>
      </c>
      <c r="D300" s="288">
        <f>SUM(D290:D299)</f>
        <v>0</v>
      </c>
      <c r="E300" s="288">
        <f>SUM(E290:E299)</f>
        <v>0</v>
      </c>
    </row>
    <row r="301" spans="2:5" ht="16.5" thickTop="1">
      <c r="B301" s="289" t="s">
        <v>262</v>
      </c>
      <c r="C301" s="290"/>
      <c r="D301" s="290"/>
      <c r="E301" s="90"/>
    </row>
    <row r="302" spans="2:5" ht="15.75">
      <c r="B302" s="828" t="s">
        <v>785</v>
      </c>
      <c r="C302" s="828"/>
      <c r="D302" s="828"/>
      <c r="E302" s="828"/>
    </row>
    <row r="303" spans="3:5" ht="15.75">
      <c r="C303" s="291"/>
      <c r="D303" s="291"/>
      <c r="E303" s="291"/>
    </row>
    <row r="304" spans="3:5" ht="15.75">
      <c r="C304" s="291"/>
      <c r="D304" s="291"/>
      <c r="E304" s="291"/>
    </row>
    <row r="305" spans="3:5" ht="15.75">
      <c r="C305" s="291"/>
      <c r="D305" s="291"/>
      <c r="E305" s="291"/>
    </row>
    <row r="306" spans="3:5" ht="15.75">
      <c r="C306" s="291"/>
      <c r="D306" s="291"/>
      <c r="E306" s="291"/>
    </row>
    <row r="307" spans="3:5" ht="15.75">
      <c r="C307" s="291"/>
      <c r="D307" s="291"/>
      <c r="E307" s="291"/>
    </row>
    <row r="308" spans="3:5" ht="15.75">
      <c r="C308" s="291"/>
      <c r="D308" s="291"/>
      <c r="E308" s="291"/>
    </row>
    <row r="309" spans="3:5" ht="15.75">
      <c r="C309" s="291"/>
      <c r="D309" s="291"/>
      <c r="E309" s="291"/>
    </row>
    <row r="310" spans="3:5" ht="15.75">
      <c r="C310" s="291"/>
      <c r="D310" s="291"/>
      <c r="E310" s="291"/>
    </row>
    <row r="311" spans="3:5" ht="15.75">
      <c r="C311" s="291"/>
      <c r="D311" s="291"/>
      <c r="E311" s="291"/>
    </row>
    <row r="312" spans="3:5" ht="15.75">
      <c r="C312" s="291"/>
      <c r="D312" s="291"/>
      <c r="E312" s="291"/>
    </row>
    <row r="313" spans="3:5" ht="15.75">
      <c r="C313" s="291"/>
      <c r="D313" s="291"/>
      <c r="E313" s="291"/>
    </row>
    <row r="314" spans="3:5" ht="15.75">
      <c r="C314" s="291"/>
      <c r="D314" s="291"/>
      <c r="E314" s="291"/>
    </row>
    <row r="315" spans="3:5" ht="15.75">
      <c r="C315" s="291"/>
      <c r="D315" s="291"/>
      <c r="E315" s="291"/>
    </row>
    <row r="316" spans="3:5" ht="15.75">
      <c r="C316" s="291"/>
      <c r="D316" s="291"/>
      <c r="E316" s="291"/>
    </row>
    <row r="317" spans="3:5" ht="15.75">
      <c r="C317" s="291"/>
      <c r="D317" s="291"/>
      <c r="E317" s="291"/>
    </row>
    <row r="318" spans="3:5" ht="15.75">
      <c r="C318" s="291"/>
      <c r="D318" s="291"/>
      <c r="E318" s="291"/>
    </row>
    <row r="319" spans="3:5" ht="15.75">
      <c r="C319" s="291"/>
      <c r="D319" s="291"/>
      <c r="E319" s="291"/>
    </row>
    <row r="320" spans="3:5" ht="15.75">
      <c r="C320" s="291"/>
      <c r="D320" s="291"/>
      <c r="E320" s="291"/>
    </row>
    <row r="321" spans="3:5" ht="15.75">
      <c r="C321" s="291"/>
      <c r="D321" s="291"/>
      <c r="E321" s="291"/>
    </row>
    <row r="322" spans="3:5" ht="15.75">
      <c r="C322" s="291"/>
      <c r="D322" s="291"/>
      <c r="E322" s="291"/>
    </row>
    <row r="323" spans="3:5" ht="15.75">
      <c r="C323" s="291"/>
      <c r="D323" s="291"/>
      <c r="E323" s="291"/>
    </row>
    <row r="324" spans="3:5" ht="15.75">
      <c r="C324" s="291"/>
      <c r="D324" s="291"/>
      <c r="E324" s="291"/>
    </row>
    <row r="325" spans="3:5" ht="15.75">
      <c r="C325" s="291"/>
      <c r="D325" s="291"/>
      <c r="E325" s="291"/>
    </row>
    <row r="326" spans="3:5" ht="15.75">
      <c r="C326" s="291"/>
      <c r="D326" s="291"/>
      <c r="E326" s="291"/>
    </row>
    <row r="327" spans="3:5" ht="15.75">
      <c r="C327" s="291"/>
      <c r="D327" s="291"/>
      <c r="E327" s="291"/>
    </row>
    <row r="328" spans="3:5" ht="15.75">
      <c r="C328" s="291"/>
      <c r="D328" s="291"/>
      <c r="E328" s="291"/>
    </row>
    <row r="329" spans="3:5" ht="15.75">
      <c r="C329" s="291"/>
      <c r="D329" s="291"/>
      <c r="E329" s="291"/>
    </row>
    <row r="330" spans="3:5" ht="15.75">
      <c r="C330" s="291"/>
      <c r="D330" s="291"/>
      <c r="E330" s="291"/>
    </row>
    <row r="331" spans="3:5" ht="15.75">
      <c r="C331" s="291"/>
      <c r="D331" s="291"/>
      <c r="E331" s="291"/>
    </row>
    <row r="332" spans="3:5" ht="15.75">
      <c r="C332" s="291"/>
      <c r="D332" s="291"/>
      <c r="E332" s="291"/>
    </row>
    <row r="333" spans="3:5" ht="15.75">
      <c r="C333" s="291"/>
      <c r="D333" s="291"/>
      <c r="E333" s="291"/>
    </row>
    <row r="334" spans="3:5" ht="15.75">
      <c r="C334" s="291"/>
      <c r="D334" s="291"/>
      <c r="E334" s="291"/>
    </row>
    <row r="335" spans="3:5" ht="15.75">
      <c r="C335" s="291"/>
      <c r="D335" s="291"/>
      <c r="E335" s="291"/>
    </row>
    <row r="336" spans="3:5" ht="15.75">
      <c r="C336" s="291"/>
      <c r="D336" s="291"/>
      <c r="E336" s="291"/>
    </row>
    <row r="337" spans="3:5" ht="15.75">
      <c r="C337" s="291"/>
      <c r="D337" s="291"/>
      <c r="E337" s="291"/>
    </row>
    <row r="338" spans="3:5" ht="15.75">
      <c r="C338" s="291"/>
      <c r="D338" s="291"/>
      <c r="E338" s="291"/>
    </row>
    <row r="339" spans="3:5" ht="15.75">
      <c r="C339" s="291"/>
      <c r="D339" s="291"/>
      <c r="E339" s="291"/>
    </row>
    <row r="340" spans="3:5" ht="15.75">
      <c r="C340" s="291"/>
      <c r="D340" s="291"/>
      <c r="E340" s="291"/>
    </row>
    <row r="341" spans="3:5" ht="15.75">
      <c r="C341" s="291"/>
      <c r="D341" s="291"/>
      <c r="E341" s="291"/>
    </row>
    <row r="342" spans="3:5" ht="15.75">
      <c r="C342" s="291"/>
      <c r="D342" s="291"/>
      <c r="E342" s="291"/>
    </row>
    <row r="343" spans="3:5" ht="15.75">
      <c r="C343" s="291"/>
      <c r="D343" s="291"/>
      <c r="E343" s="291"/>
    </row>
    <row r="344" spans="3:5" ht="15.75">
      <c r="C344" s="291"/>
      <c r="D344" s="291"/>
      <c r="E344" s="291"/>
    </row>
    <row r="345" spans="3:5" ht="15.75">
      <c r="C345" s="291"/>
      <c r="D345" s="291"/>
      <c r="E345" s="291"/>
    </row>
    <row r="346" spans="3:5" ht="15.75">
      <c r="C346" s="291"/>
      <c r="D346" s="291"/>
      <c r="E346" s="291"/>
    </row>
    <row r="347" spans="3:5" ht="15.75">
      <c r="C347" s="291"/>
      <c r="D347" s="291"/>
      <c r="E347" s="291"/>
    </row>
    <row r="348" spans="3:5" ht="15.75">
      <c r="C348" s="291"/>
      <c r="D348" s="291"/>
      <c r="E348" s="291"/>
    </row>
    <row r="349" spans="3:5" ht="15.75">
      <c r="C349" s="291"/>
      <c r="D349" s="291"/>
      <c r="E349" s="291"/>
    </row>
    <row r="350" spans="3:5" ht="15.75">
      <c r="C350" s="291"/>
      <c r="D350" s="291"/>
      <c r="E350" s="291"/>
    </row>
    <row r="351" spans="3:5" ht="15.75">
      <c r="C351" s="291"/>
      <c r="D351" s="291"/>
      <c r="E351" s="291"/>
    </row>
    <row r="352" spans="3:5" ht="15.75">
      <c r="C352" s="291"/>
      <c r="D352" s="291"/>
      <c r="E352" s="291"/>
    </row>
    <row r="353" spans="3:5" ht="15.75">
      <c r="C353" s="291"/>
      <c r="D353" s="291"/>
      <c r="E353" s="291"/>
    </row>
    <row r="354" spans="3:5" ht="15.75">
      <c r="C354" s="291"/>
      <c r="D354" s="291"/>
      <c r="E354" s="291"/>
    </row>
    <row r="355" spans="3:5" ht="15.75">
      <c r="C355" s="291"/>
      <c r="D355" s="291"/>
      <c r="E355" s="291"/>
    </row>
    <row r="356" spans="3:5" ht="15.75">
      <c r="C356" s="291"/>
      <c r="D356" s="291"/>
      <c r="E356" s="291"/>
    </row>
    <row r="357" spans="3:5" ht="15.75">
      <c r="C357" s="291"/>
      <c r="D357" s="291"/>
      <c r="E357" s="291"/>
    </row>
    <row r="358" spans="3:5" ht="15.75">
      <c r="C358" s="291"/>
      <c r="D358" s="291"/>
      <c r="E358" s="291"/>
    </row>
    <row r="359" spans="3:5" ht="15.75">
      <c r="C359" s="291"/>
      <c r="D359" s="291"/>
      <c r="E359" s="291"/>
    </row>
    <row r="360" spans="3:5" ht="15.75">
      <c r="C360" s="291"/>
      <c r="D360" s="291"/>
      <c r="E360" s="291"/>
    </row>
    <row r="361" spans="3:5" ht="15.75">
      <c r="C361" s="291"/>
      <c r="D361" s="291"/>
      <c r="E361" s="291"/>
    </row>
    <row r="362" spans="3:5" ht="15.75">
      <c r="C362" s="291"/>
      <c r="D362" s="291"/>
      <c r="E362" s="291"/>
    </row>
    <row r="363" spans="3:5" ht="15.75">
      <c r="C363" s="291"/>
      <c r="D363" s="291"/>
      <c r="E363" s="291"/>
    </row>
    <row r="364" spans="3:5" ht="15.75">
      <c r="C364" s="291"/>
      <c r="D364" s="291"/>
      <c r="E364" s="291"/>
    </row>
    <row r="365" spans="3:5" ht="15.75">
      <c r="C365" s="291"/>
      <c r="D365" s="291"/>
      <c r="E365" s="291"/>
    </row>
    <row r="366" spans="3:5" ht="15.75">
      <c r="C366" s="291"/>
      <c r="D366" s="291"/>
      <c r="E366" s="291"/>
    </row>
    <row r="367" spans="3:5" ht="15.75">
      <c r="C367" s="291"/>
      <c r="D367" s="291"/>
      <c r="E367" s="291"/>
    </row>
    <row r="368" spans="3:5" ht="15.75">
      <c r="C368" s="291"/>
      <c r="D368" s="291"/>
      <c r="E368" s="291"/>
    </row>
    <row r="369" spans="3:5" ht="15.75">
      <c r="C369" s="291"/>
      <c r="D369" s="291"/>
      <c r="E369" s="291"/>
    </row>
    <row r="370" spans="3:5" ht="15.75">
      <c r="C370" s="291"/>
      <c r="D370" s="291"/>
      <c r="E370" s="291"/>
    </row>
    <row r="371" spans="3:5" ht="15.75">
      <c r="C371" s="291"/>
      <c r="D371" s="291"/>
      <c r="E371" s="291"/>
    </row>
    <row r="372" spans="3:5" ht="15.75">
      <c r="C372" s="291"/>
      <c r="D372" s="291"/>
      <c r="E372" s="291"/>
    </row>
    <row r="373" spans="3:5" ht="15.75">
      <c r="C373" s="291"/>
      <c r="D373" s="291"/>
      <c r="E373" s="291"/>
    </row>
    <row r="374" spans="3:5" ht="15.75">
      <c r="C374" s="291"/>
      <c r="D374" s="291"/>
      <c r="E374" s="291"/>
    </row>
    <row r="375" spans="3:5" ht="15.75">
      <c r="C375" s="291"/>
      <c r="D375" s="291"/>
      <c r="E375" s="291"/>
    </row>
    <row r="376" spans="3:5" ht="15.75">
      <c r="C376" s="291"/>
      <c r="D376" s="291"/>
      <c r="E376" s="291"/>
    </row>
    <row r="377" spans="3:5" ht="15.75">
      <c r="C377" s="291"/>
      <c r="D377" s="291"/>
      <c r="E377" s="291"/>
    </row>
    <row r="378" spans="3:5" ht="15.75">
      <c r="C378" s="291"/>
      <c r="D378" s="291"/>
      <c r="E378" s="291"/>
    </row>
    <row r="379" spans="3:5" ht="15.75">
      <c r="C379" s="291"/>
      <c r="D379" s="291"/>
      <c r="E379" s="291"/>
    </row>
    <row r="380" spans="3:5" ht="15.75">
      <c r="C380" s="291"/>
      <c r="D380" s="291"/>
      <c r="E380" s="291"/>
    </row>
    <row r="381" spans="3:5" ht="15.75">
      <c r="C381" s="291"/>
      <c r="D381" s="291"/>
      <c r="E381" s="291"/>
    </row>
    <row r="382" spans="3:5" ht="15.75">
      <c r="C382" s="291"/>
      <c r="D382" s="291"/>
      <c r="E382" s="291"/>
    </row>
    <row r="383" spans="3:5" ht="15.75">
      <c r="C383" s="291"/>
      <c r="D383" s="291"/>
      <c r="E383" s="291"/>
    </row>
    <row r="384" spans="3:5" ht="15.75">
      <c r="C384" s="291"/>
      <c r="D384" s="291"/>
      <c r="E384" s="291"/>
    </row>
    <row r="385" spans="3:5" ht="15.75">
      <c r="C385" s="291"/>
      <c r="D385" s="291"/>
      <c r="E385" s="291"/>
    </row>
    <row r="386" spans="3:5" ht="15.75">
      <c r="C386" s="291"/>
      <c r="D386" s="291"/>
      <c r="E386" s="291"/>
    </row>
    <row r="387" spans="3:5" ht="15.75">
      <c r="C387" s="291"/>
      <c r="D387" s="291"/>
      <c r="E387" s="291"/>
    </row>
    <row r="388" spans="3:5" ht="15.75">
      <c r="C388" s="291"/>
      <c r="D388" s="291"/>
      <c r="E388" s="291"/>
    </row>
    <row r="389" spans="3:5" ht="15.75">
      <c r="C389" s="291"/>
      <c r="D389" s="291"/>
      <c r="E389" s="291"/>
    </row>
    <row r="390" spans="3:5" ht="15.75">
      <c r="C390" s="291"/>
      <c r="D390" s="291"/>
      <c r="E390" s="291"/>
    </row>
    <row r="391" spans="3:5" ht="15.75">
      <c r="C391" s="291"/>
      <c r="D391" s="291"/>
      <c r="E391" s="291"/>
    </row>
    <row r="392" spans="3:5" ht="15.75">
      <c r="C392" s="291"/>
      <c r="D392" s="291"/>
      <c r="E392" s="291"/>
    </row>
    <row r="393" spans="3:5" ht="15.75">
      <c r="C393" s="291"/>
      <c r="D393" s="291"/>
      <c r="E393" s="291"/>
    </row>
    <row r="394" spans="3:5" ht="15.75">
      <c r="C394" s="291"/>
      <c r="D394" s="291"/>
      <c r="E394" s="291"/>
    </row>
    <row r="395" spans="3:5" ht="15.75">
      <c r="C395" s="291"/>
      <c r="D395" s="291"/>
      <c r="E395" s="291"/>
    </row>
    <row r="396" spans="3:5" ht="15.75">
      <c r="C396" s="291"/>
      <c r="D396" s="291"/>
      <c r="E396" s="291"/>
    </row>
    <row r="397" spans="3:5" ht="15.75">
      <c r="C397" s="291"/>
      <c r="D397" s="291"/>
      <c r="E397" s="291"/>
    </row>
    <row r="398" spans="3:5" ht="15.75">
      <c r="C398" s="291"/>
      <c r="D398" s="291"/>
      <c r="E398" s="291"/>
    </row>
    <row r="399" spans="3:5" ht="15.75">
      <c r="C399" s="291"/>
      <c r="D399" s="291"/>
      <c r="E399" s="291"/>
    </row>
    <row r="400" spans="3:5" ht="15.75">
      <c r="C400" s="291"/>
      <c r="D400" s="291"/>
      <c r="E400" s="291"/>
    </row>
    <row r="401" spans="3:5" ht="15.75">
      <c r="C401" s="291"/>
      <c r="D401" s="291"/>
      <c r="E401" s="291"/>
    </row>
    <row r="402" spans="3:5" ht="15.75">
      <c r="C402" s="291"/>
      <c r="D402" s="291"/>
      <c r="E402" s="291"/>
    </row>
    <row r="403" spans="3:5" ht="15.75">
      <c r="C403" s="291"/>
      <c r="D403" s="291"/>
      <c r="E403" s="291"/>
    </row>
    <row r="404" spans="3:5" ht="15.75">
      <c r="C404" s="291"/>
      <c r="D404" s="291"/>
      <c r="E404" s="291"/>
    </row>
    <row r="405" spans="3:5" ht="15.75">
      <c r="C405" s="291"/>
      <c r="D405" s="291"/>
      <c r="E405" s="291"/>
    </row>
  </sheetData>
  <sheetProtection sheet="1"/>
  <mergeCells count="5">
    <mergeCell ref="B302:E302"/>
    <mergeCell ref="B59:E59"/>
    <mergeCell ref="B118:E118"/>
    <mergeCell ref="B178:E178"/>
    <mergeCell ref="B242:E242"/>
  </mergeCells>
  <printOptions/>
  <pageMargins left="1.12" right="0.5" top="0.74" bottom="0.34" header="0.5" footer="0"/>
  <pageSetup blackAndWhite="1" horizontalDpi="120" verticalDpi="120" orientation="portrait" scale="67" r:id="rId1"/>
  <headerFooter alignWithMargins="0">
    <oddHeader>&amp;RState of Kansas
County
</oddHeader>
  </headerFooter>
  <rowBreaks count="4" manualBreakCount="4">
    <brk id="59" max="255" man="1"/>
    <brk id="118" min="1" max="4" man="1"/>
    <brk id="178" max="255" man="1"/>
    <brk id="242" max="255" man="1"/>
  </rowBreaks>
</worksheet>
</file>

<file path=xl/worksheets/sheet15.xml><?xml version="1.0" encoding="utf-8"?>
<worksheet xmlns="http://schemas.openxmlformats.org/spreadsheetml/2006/main" xmlns:r="http://schemas.openxmlformats.org/officeDocument/2006/relationships">
  <sheetPr>
    <pageSetUpPr fitToPage="1"/>
  </sheetPr>
  <dimension ref="B1:K71"/>
  <sheetViews>
    <sheetView zoomScalePageLayoutView="0" workbookViewId="0" topLeftCell="A1">
      <selection activeCell="Q125" sqref="Q125"/>
    </sheetView>
  </sheetViews>
  <sheetFormatPr defaultColWidth="8.796875" defaultRowHeight="15"/>
  <cols>
    <col min="1" max="1" width="2.3984375" style="89" customWidth="1"/>
    <col min="2" max="2" width="31.09765625" style="89" customWidth="1"/>
    <col min="3" max="4" width="15.796875" style="89" customWidth="1"/>
    <col min="5" max="5" width="16.3984375" style="89" customWidth="1"/>
    <col min="6" max="6" width="7.59765625" style="89" customWidth="1"/>
    <col min="7" max="7" width="9.09765625" style="89" customWidth="1"/>
    <col min="8" max="8" width="8.8984375" style="89" customWidth="1"/>
    <col min="9" max="9" width="6.8984375" style="89" customWidth="1"/>
    <col min="10" max="16384" width="8.8984375" style="89" customWidth="1"/>
  </cols>
  <sheetData>
    <row r="1" spans="2:5" ht="15.75">
      <c r="B1" s="160">
        <f>inputPrYr!C3</f>
        <v>0</v>
      </c>
      <c r="C1" s="45"/>
      <c r="D1" s="45"/>
      <c r="E1" s="198">
        <f>inputPrYr!$C$5</f>
        <v>0</v>
      </c>
    </row>
    <row r="2" spans="2:5" ht="15.75">
      <c r="B2" s="169"/>
      <c r="C2" s="266"/>
      <c r="D2" s="266"/>
      <c r="E2" s="267"/>
    </row>
    <row r="3" spans="2:5" ht="15.75">
      <c r="B3" s="414" t="s">
        <v>162</v>
      </c>
      <c r="C3" s="110"/>
      <c r="D3" s="110"/>
      <c r="E3" s="110"/>
    </row>
    <row r="4" spans="2:5" ht="15.75">
      <c r="B4" s="44" t="s">
        <v>49</v>
      </c>
      <c r="C4" s="563" t="s">
        <v>811</v>
      </c>
      <c r="D4" s="564" t="s">
        <v>812</v>
      </c>
      <c r="E4" s="114" t="s">
        <v>813</v>
      </c>
    </row>
    <row r="5" spans="2:5" ht="15.75">
      <c r="B5" s="413" t="str">
        <f>inputPrYr!B18</f>
        <v>Debt Service</v>
      </c>
      <c r="C5" s="205" t="str">
        <f>CONCATENATE("Actual for ",E1-2,"")</f>
        <v>Actual for -2</v>
      </c>
      <c r="D5" s="205" t="str">
        <f>CONCATENATE("Estimate for ",E1-1,"")</f>
        <v>Estimate for -1</v>
      </c>
      <c r="E5" s="244" t="str">
        <f>CONCATENATE("Year for ",E1,"")</f>
        <v>Year for 0</v>
      </c>
    </row>
    <row r="6" spans="2:5" ht="15.75">
      <c r="B6" s="118" t="s">
        <v>194</v>
      </c>
      <c r="C6" s="409"/>
      <c r="D6" s="387">
        <f>C53</f>
        <v>0</v>
      </c>
      <c r="E6" s="268">
        <f>D53</f>
        <v>0</v>
      </c>
    </row>
    <row r="7" spans="2:5" ht="15.75">
      <c r="B7" s="140" t="s">
        <v>196</v>
      </c>
      <c r="C7" s="410"/>
      <c r="D7" s="387"/>
      <c r="E7" s="268"/>
    </row>
    <row r="8" spans="2:5" ht="15.75">
      <c r="B8" s="118" t="s">
        <v>50</v>
      </c>
      <c r="C8" s="411"/>
      <c r="D8" s="410">
        <f>IF(inputPrYr!H17&gt;0,inputPrYr!H17,inputPrYr!E18)</f>
        <v>0</v>
      </c>
      <c r="E8" s="270" t="s">
        <v>35</v>
      </c>
    </row>
    <row r="9" spans="2:5" ht="15.75">
      <c r="B9" s="118" t="s">
        <v>51</v>
      </c>
      <c r="C9" s="411"/>
      <c r="D9" s="411"/>
      <c r="E9" s="271"/>
    </row>
    <row r="10" spans="2:5" ht="15.75">
      <c r="B10" s="118" t="s">
        <v>52</v>
      </c>
      <c r="C10" s="411"/>
      <c r="D10" s="411"/>
      <c r="E10" s="272" t="str">
        <f>mvalloc!E11</f>
        <v> </v>
      </c>
    </row>
    <row r="11" spans="2:5" ht="15.75">
      <c r="B11" s="118" t="s">
        <v>53</v>
      </c>
      <c r="C11" s="411"/>
      <c r="D11" s="411"/>
      <c r="E11" s="272" t="str">
        <f>mvalloc!F11</f>
        <v> </v>
      </c>
    </row>
    <row r="12" spans="2:5" ht="15.75">
      <c r="B12" s="273" t="s">
        <v>185</v>
      </c>
      <c r="C12" s="411"/>
      <c r="D12" s="411"/>
      <c r="E12" s="272" t="str">
        <f>mvalloc!G11</f>
        <v> </v>
      </c>
    </row>
    <row r="13" spans="2:5" ht="15.75">
      <c r="B13" s="273" t="s">
        <v>955</v>
      </c>
      <c r="C13" s="411"/>
      <c r="D13" s="411"/>
      <c r="E13" s="272" t="str">
        <f>mvalloc!H11</f>
        <v> </v>
      </c>
    </row>
    <row r="14" spans="2:5" ht="15.75">
      <c r="B14" s="273" t="s">
        <v>956</v>
      </c>
      <c r="C14" s="411"/>
      <c r="D14" s="411"/>
      <c r="E14" s="272" t="str">
        <f>mvalloc!I11</f>
        <v> </v>
      </c>
    </row>
    <row r="15" spans="2:5" ht="15.75">
      <c r="B15" s="274"/>
      <c r="C15" s="411"/>
      <c r="D15" s="411"/>
      <c r="E15" s="271"/>
    </row>
    <row r="16" spans="2:5" ht="15.75">
      <c r="B16" s="274"/>
      <c r="C16" s="411"/>
      <c r="D16" s="411"/>
      <c r="E16" s="275"/>
    </row>
    <row r="17" spans="2:5" ht="15.75">
      <c r="B17" s="274"/>
      <c r="C17" s="411"/>
      <c r="D17" s="411"/>
      <c r="E17" s="271"/>
    </row>
    <row r="18" spans="2:5" ht="15.75">
      <c r="B18" s="274"/>
      <c r="C18" s="411"/>
      <c r="D18" s="411"/>
      <c r="E18" s="271"/>
    </row>
    <row r="19" spans="2:5" ht="15.75">
      <c r="B19" s="274"/>
      <c r="C19" s="411"/>
      <c r="D19" s="411"/>
      <c r="E19" s="271"/>
    </row>
    <row r="20" spans="2:5" ht="15.75">
      <c r="B20" s="274"/>
      <c r="C20" s="411"/>
      <c r="D20" s="411"/>
      <c r="E20" s="271"/>
    </row>
    <row r="21" spans="2:5" ht="15.75">
      <c r="B21" s="274"/>
      <c r="C21" s="411"/>
      <c r="D21" s="411"/>
      <c r="E21" s="271"/>
    </row>
    <row r="22" spans="2:5" ht="15.75">
      <c r="B22" s="274"/>
      <c r="C22" s="411"/>
      <c r="D22" s="411"/>
      <c r="E22" s="271"/>
    </row>
    <row r="23" spans="2:5" ht="15.75">
      <c r="B23" s="274"/>
      <c r="C23" s="411"/>
      <c r="D23" s="411"/>
      <c r="E23" s="271"/>
    </row>
    <row r="24" spans="2:5" ht="15.75">
      <c r="B24" s="274" t="s">
        <v>231</v>
      </c>
      <c r="C24" s="411"/>
      <c r="D24" s="411"/>
      <c r="E24" s="271"/>
    </row>
    <row r="25" spans="2:5" ht="15.75">
      <c r="B25" s="276" t="s">
        <v>57</v>
      </c>
      <c r="C25" s="411"/>
      <c r="D25" s="411"/>
      <c r="E25" s="271"/>
    </row>
    <row r="26" spans="2:5" ht="15.75">
      <c r="B26" s="250" t="s">
        <v>297</v>
      </c>
      <c r="C26" s="411"/>
      <c r="D26" s="411"/>
      <c r="E26" s="280">
        <f>Nhood!E7*-1</f>
        <v>0</v>
      </c>
    </row>
    <row r="27" spans="2:5" ht="15.75">
      <c r="B27" s="250" t="s">
        <v>298</v>
      </c>
      <c r="C27" s="411"/>
      <c r="D27" s="411"/>
      <c r="E27" s="271"/>
    </row>
    <row r="28" spans="2:5" ht="15.75">
      <c r="B28" s="250" t="s">
        <v>673</v>
      </c>
      <c r="C28" s="384">
        <f>IF(C29*0.1&lt;C27,"Exceed 10% Rule","")</f>
      </c>
      <c r="D28" s="384">
        <f>IF(D29*0.1&lt;D27,"Exceed 10% Rule","")</f>
      </c>
      <c r="E28" s="277">
        <f>IF(E29*0.1+E59&lt;E27,"Exceed 10% Rule","")</f>
      </c>
    </row>
    <row r="29" spans="2:5" ht="15.75">
      <c r="B29" s="252" t="s">
        <v>58</v>
      </c>
      <c r="C29" s="408">
        <f>SUM(C8:C27)</f>
        <v>0</v>
      </c>
      <c r="D29" s="408">
        <f>SUM(D8:D27)</f>
        <v>0</v>
      </c>
      <c r="E29" s="278">
        <f>SUM(E8:E27)</f>
        <v>0</v>
      </c>
    </row>
    <row r="30" spans="2:5" ht="15.75">
      <c r="B30" s="252" t="s">
        <v>59</v>
      </c>
      <c r="C30" s="408">
        <f>C6+C29</f>
        <v>0</v>
      </c>
      <c r="D30" s="408">
        <f>D6+D29</f>
        <v>0</v>
      </c>
      <c r="E30" s="279">
        <f>E6+E29</f>
        <v>0</v>
      </c>
    </row>
    <row r="31" spans="2:5" ht="15.75">
      <c r="B31" s="140" t="s">
        <v>62</v>
      </c>
      <c r="C31" s="410"/>
      <c r="D31" s="410"/>
      <c r="E31" s="272"/>
    </row>
    <row r="32" spans="2:5" ht="15.75">
      <c r="B32" s="261"/>
      <c r="C32" s="411"/>
      <c r="D32" s="411"/>
      <c r="E32" s="271"/>
    </row>
    <row r="33" spans="2:5" ht="15.75">
      <c r="B33" s="261"/>
      <c r="C33" s="411"/>
      <c r="D33" s="411"/>
      <c r="E33" s="271"/>
    </row>
    <row r="34" spans="2:5" ht="15.75">
      <c r="B34" s="261"/>
      <c r="C34" s="411"/>
      <c r="D34" s="411"/>
      <c r="E34" s="271"/>
    </row>
    <row r="35" spans="2:10" ht="15.75">
      <c r="B35" s="261"/>
      <c r="C35" s="411"/>
      <c r="D35" s="411"/>
      <c r="E35" s="271"/>
      <c r="G35" s="863" t="str">
        <f>CONCATENATE("Desired Carryover Into ",E1+1,"")</f>
        <v>Desired Carryover Into 1</v>
      </c>
      <c r="H35" s="864"/>
      <c r="I35" s="864"/>
      <c r="J35" s="833"/>
    </row>
    <row r="36" spans="2:10" ht="15.75">
      <c r="B36" s="261"/>
      <c r="C36" s="411"/>
      <c r="D36" s="411"/>
      <c r="E36" s="271"/>
      <c r="G36" s="567"/>
      <c r="H36" s="568"/>
      <c r="I36" s="569"/>
      <c r="J36" s="570"/>
    </row>
    <row r="37" spans="2:10" ht="15.75">
      <c r="B37" s="261"/>
      <c r="C37" s="411"/>
      <c r="D37" s="411"/>
      <c r="E37" s="271"/>
      <c r="G37" s="571" t="s">
        <v>683</v>
      </c>
      <c r="H37" s="569"/>
      <c r="I37" s="569"/>
      <c r="J37" s="572">
        <v>0</v>
      </c>
    </row>
    <row r="38" spans="2:10" ht="15.75">
      <c r="B38" s="261"/>
      <c r="C38" s="411"/>
      <c r="D38" s="411"/>
      <c r="E38" s="271"/>
      <c r="G38" s="567" t="s">
        <v>684</v>
      </c>
      <c r="H38" s="568"/>
      <c r="I38" s="568"/>
      <c r="J38" s="573">
        <f>IF(J37=0,"",ROUND((J37+E59-G50)/inputOth!E5*1000,3)-G55)</f>
      </c>
    </row>
    <row r="39" spans="2:10" ht="15.75">
      <c r="B39" s="261"/>
      <c r="C39" s="411"/>
      <c r="D39" s="411"/>
      <c r="E39" s="271"/>
      <c r="G39" s="574" t="str">
        <f>CONCATENATE("",E1," Tot Exp/Non-Appr Must Be:")</f>
        <v>0 Tot Exp/Non-Appr Must Be:</v>
      </c>
      <c r="H39" s="575"/>
      <c r="I39" s="576"/>
      <c r="J39" s="577">
        <f>IF(J37&gt;0,IF(E56&lt;E30,IF(J37=G50,E56,((J37-G50)*(1-D59))+E30),E56+(J37-G50)),0)</f>
        <v>0</v>
      </c>
    </row>
    <row r="40" spans="2:10" ht="15.75">
      <c r="B40" s="261"/>
      <c r="C40" s="411"/>
      <c r="D40" s="411"/>
      <c r="E40" s="271"/>
      <c r="G40" s="578" t="s">
        <v>814</v>
      </c>
      <c r="H40" s="579"/>
      <c r="I40" s="579"/>
      <c r="J40" s="580">
        <f>IF(J37&gt;0,J39-E56,0)</f>
        <v>0</v>
      </c>
    </row>
    <row r="41" spans="2:5" ht="15.75">
      <c r="B41" s="261"/>
      <c r="C41" s="411"/>
      <c r="D41" s="411"/>
      <c r="E41" s="271"/>
    </row>
    <row r="42" spans="2:10" ht="15.75">
      <c r="B42" s="261"/>
      <c r="C42" s="411"/>
      <c r="D42" s="411"/>
      <c r="E42" s="271"/>
      <c r="G42" s="850" t="str">
        <f>CONCATENATE("Projected Carryover Into ",E1+1,"")</f>
        <v>Projected Carryover Into 1</v>
      </c>
      <c r="H42" s="864"/>
      <c r="I42" s="864"/>
      <c r="J42" s="833"/>
    </row>
    <row r="43" spans="2:10" ht="15.75">
      <c r="B43" s="261"/>
      <c r="C43" s="411"/>
      <c r="D43" s="411"/>
      <c r="E43" s="271"/>
      <c r="G43" s="439"/>
      <c r="H43" s="431"/>
      <c r="I43" s="431"/>
      <c r="J43" s="135"/>
    </row>
    <row r="44" spans="2:10" ht="15.75">
      <c r="B44" s="261"/>
      <c r="C44" s="411"/>
      <c r="D44" s="411"/>
      <c r="E44" s="271"/>
      <c r="G44" s="428">
        <f>D53</f>
        <v>0</v>
      </c>
      <c r="H44" s="429" t="str">
        <f>CONCATENATE("",E1-1," Ending Cash Balance (est.)")</f>
        <v>-1 Ending Cash Balance (est.)</v>
      </c>
      <c r="I44" s="430"/>
      <c r="J44" s="611"/>
    </row>
    <row r="45" spans="2:10" ht="15.75">
      <c r="B45" s="261"/>
      <c r="C45" s="411"/>
      <c r="D45" s="411"/>
      <c r="E45" s="271"/>
      <c r="G45" s="428">
        <f>E29</f>
        <v>0</v>
      </c>
      <c r="H45" s="431" t="str">
        <f>CONCATENATE("",E1," Non-AV Receipts (est.)")</f>
        <v>0 Non-AV Receipts (est.)</v>
      </c>
      <c r="I45" s="431"/>
      <c r="J45" s="135"/>
    </row>
    <row r="46" spans="2:11" ht="15.75">
      <c r="B46" s="261"/>
      <c r="C46" s="411"/>
      <c r="D46" s="411"/>
      <c r="E46" s="271"/>
      <c r="G46" s="432">
        <f>IF(E58&gt;0,E57,E59)</f>
        <v>0</v>
      </c>
      <c r="H46" s="431" t="str">
        <f>CONCATENATE("",E1," Ad Valorem Tax (est.)")</f>
        <v>0 Ad Valorem Tax (est.)</v>
      </c>
      <c r="I46" s="431"/>
      <c r="J46" s="135"/>
      <c r="K46" s="622">
        <f>IF(G46=E59,"","Note: Does not include Delinquent Taxes")</f>
      </c>
    </row>
    <row r="47" spans="2:10" ht="15.75">
      <c r="B47" s="261"/>
      <c r="C47" s="411"/>
      <c r="D47" s="411"/>
      <c r="E47" s="271"/>
      <c r="G47" s="428">
        <f>SUM(G44:G46)</f>
        <v>0</v>
      </c>
      <c r="H47" s="431" t="str">
        <f>CONCATENATE("Total ",E1," Resources Available")</f>
        <v>Total 0 Resources Available</v>
      </c>
      <c r="I47" s="430"/>
      <c r="J47" s="611"/>
    </row>
    <row r="48" spans="2:10" ht="15.75">
      <c r="B48" s="261"/>
      <c r="C48" s="411"/>
      <c r="D48" s="411"/>
      <c r="E48" s="271"/>
      <c r="G48" s="433"/>
      <c r="H48" s="431"/>
      <c r="I48" s="431"/>
      <c r="J48" s="135"/>
    </row>
    <row r="49" spans="2:10" ht="15.75">
      <c r="B49" s="250" t="str">
        <f>CONCATENATE("Cash Basis Reserve (",E1," column)")</f>
        <v>Cash Basis Reserve (0 column)</v>
      </c>
      <c r="C49" s="411"/>
      <c r="D49" s="411"/>
      <c r="E49" s="271"/>
      <c r="G49" s="432">
        <f>C52</f>
        <v>0</v>
      </c>
      <c r="H49" s="431" t="str">
        <f>CONCATENATE("Less ",E1-2," Expenditures")</f>
        <v>Less -2 Expenditures</v>
      </c>
      <c r="I49" s="431"/>
      <c r="J49" s="135"/>
    </row>
    <row r="50" spans="2:10" ht="15.75">
      <c r="B50" s="250" t="s">
        <v>298</v>
      </c>
      <c r="C50" s="411"/>
      <c r="D50" s="411"/>
      <c r="E50" s="271"/>
      <c r="G50" s="629">
        <f>G47-G49</f>
        <v>0</v>
      </c>
      <c r="H50" s="440" t="str">
        <f>CONCATENATE("Projected ",E1+1," carryover (est.)")</f>
        <v>Projected 1 carryover (est.)</v>
      </c>
      <c r="I50" s="435"/>
      <c r="J50" s="630"/>
    </row>
    <row r="51" spans="2:5" ht="15.75">
      <c r="B51" s="250" t="s">
        <v>674</v>
      </c>
      <c r="C51" s="384">
        <f>IF(C52*0.1&lt;C50,"Exceed 10% Rule","")</f>
      </c>
      <c r="D51" s="384">
        <f>IF(D52*0.1&lt;D50,"Exceed 10% Rule","")</f>
      </c>
      <c r="E51" s="277">
        <f>IF(E52*0.1&lt;E50,"Exceed 10% Rule","")</f>
      </c>
    </row>
    <row r="52" spans="2:10" ht="15.75">
      <c r="B52" s="252" t="s">
        <v>63</v>
      </c>
      <c r="C52" s="408">
        <f>SUM(C32:C50)</f>
        <v>0</v>
      </c>
      <c r="D52" s="408">
        <f>SUM(D32:D50)</f>
        <v>0</v>
      </c>
      <c r="E52" s="278">
        <f>SUM(E32:E50)</f>
        <v>0</v>
      </c>
      <c r="G52" s="860" t="s">
        <v>815</v>
      </c>
      <c r="H52" s="861"/>
      <c r="I52" s="861"/>
      <c r="J52" s="862"/>
    </row>
    <row r="53" spans="2:10" ht="15.75">
      <c r="B53" s="118" t="s">
        <v>195</v>
      </c>
      <c r="C53" s="407">
        <f>C30-C52</f>
        <v>0</v>
      </c>
      <c r="D53" s="407">
        <f>D30-D52</f>
        <v>0</v>
      </c>
      <c r="E53" s="270" t="s">
        <v>35</v>
      </c>
      <c r="G53" s="592"/>
      <c r="H53" s="584"/>
      <c r="I53" s="593"/>
      <c r="J53" s="594"/>
    </row>
    <row r="54" spans="2:10" ht="15.75">
      <c r="B54" s="146" t="str">
        <f>CONCATENATE("",E1-2,"/",E1-1,"/",E1," Budget Authority Amount:")</f>
        <v>-2/-1/0 Budget Authority Amount:</v>
      </c>
      <c r="C54" s="272">
        <f>inputOth!B32</f>
        <v>0</v>
      </c>
      <c r="D54" s="272">
        <f>inputPrYr!D18</f>
        <v>0</v>
      </c>
      <c r="E54" s="209">
        <f>E52</f>
        <v>0</v>
      </c>
      <c r="F54" s="281"/>
      <c r="G54" s="595" t="str">
        <f>summ!H17</f>
        <v>  </v>
      </c>
      <c r="H54" s="584" t="str">
        <f>CONCATENATE("",E1," Fund Mill Rate")</f>
        <v>0 Fund Mill Rate</v>
      </c>
      <c r="I54" s="593"/>
      <c r="J54" s="594"/>
    </row>
    <row r="55" spans="2:10" ht="15.75">
      <c r="B55" s="231"/>
      <c r="C55" s="856" t="s">
        <v>675</v>
      </c>
      <c r="D55" s="857"/>
      <c r="E55" s="66"/>
      <c r="F55" s="415">
        <f>IF(E52/0.95-E52&lt;E55,"Exceeds 5%","")</f>
      </c>
      <c r="G55" s="596" t="str">
        <f>summ!E17</f>
        <v>  </v>
      </c>
      <c r="H55" s="584" t="str">
        <f>CONCATENATE("",E1-1," Fund Mill Rate")</f>
        <v>-1 Fund Mill Rate</v>
      </c>
      <c r="I55" s="593"/>
      <c r="J55" s="594"/>
    </row>
    <row r="56" spans="2:10" ht="15.75">
      <c r="B56" s="417" t="str">
        <f>CONCATENATE(C70,"     ",D70)</f>
        <v>     </v>
      </c>
      <c r="C56" s="858" t="s">
        <v>676</v>
      </c>
      <c r="D56" s="859"/>
      <c r="E56" s="209">
        <f>E52+E55</f>
        <v>0</v>
      </c>
      <c r="G56" s="597">
        <f>summ!H52</f>
        <v>0</v>
      </c>
      <c r="H56" s="584" t="str">
        <f>CONCATENATE("Total ",E1," Mill Rate")</f>
        <v>Total 0 Mill Rate</v>
      </c>
      <c r="I56" s="593"/>
      <c r="J56" s="594"/>
    </row>
    <row r="57" spans="2:10" ht="15.75">
      <c r="B57" s="417" t="str">
        <f>CONCATENATE(C71,"     ",D71)</f>
        <v>     </v>
      </c>
      <c r="C57" s="264"/>
      <c r="D57" s="79" t="s">
        <v>64</v>
      </c>
      <c r="E57" s="70">
        <f>IF(E56-E30&gt;0,E56-E30,0)</f>
        <v>0</v>
      </c>
      <c r="G57" s="596">
        <f>summ!E52</f>
        <v>0</v>
      </c>
      <c r="H57" s="598" t="str">
        <f>CONCATENATE("Total ",E1-1," Mill Rate")</f>
        <v>Total -1 Mill Rate</v>
      </c>
      <c r="I57" s="599"/>
      <c r="J57" s="600"/>
    </row>
    <row r="58" spans="2:5" ht="15.75">
      <c r="B58" s="79"/>
      <c r="C58" s="402" t="s">
        <v>677</v>
      </c>
      <c r="D58" s="624">
        <f>inputOth!$E$24</f>
        <v>0</v>
      </c>
      <c r="E58" s="209">
        <f>ROUND(IF(D58&gt;0,(E57*D58),0),0)</f>
        <v>0</v>
      </c>
    </row>
    <row r="59" spans="2:10" ht="15.75">
      <c r="B59" s="45"/>
      <c r="C59" s="854" t="str">
        <f>CONCATENATE("Amount of  ",$E$1-1," Ad Valorem Tax")</f>
        <v>Amount of  -1 Ad Valorem Tax</v>
      </c>
      <c r="D59" s="855"/>
      <c r="E59" s="282">
        <f>E57+E58</f>
        <v>0</v>
      </c>
      <c r="G59" s="741" t="s">
        <v>964</v>
      </c>
      <c r="H59" s="742"/>
      <c r="I59" s="751"/>
      <c r="J59" s="743" t="str">
        <f>cert!F62</f>
        <v>No</v>
      </c>
    </row>
    <row r="60" spans="2:10" ht="15.75">
      <c r="B60" s="79"/>
      <c r="C60" s="45"/>
      <c r="D60" s="45"/>
      <c r="E60" s="45"/>
      <c r="G60" s="752" t="str">
        <f>CONCATENATE("Computed ",E1," tax levy limit amount")</f>
        <v>Computed 0 tax levy limit amount</v>
      </c>
      <c r="H60" s="753"/>
      <c r="I60" s="753"/>
      <c r="J60" s="754">
        <f>computation!J42</f>
        <v>0</v>
      </c>
    </row>
    <row r="61" spans="2:10" ht="15.75">
      <c r="B61" s="231" t="s">
        <v>115</v>
      </c>
      <c r="C61" s="709"/>
      <c r="D61" s="45"/>
      <c r="E61" s="45"/>
      <c r="G61" s="755" t="str">
        <f>CONCATENATE("Total ",E1," tax levy amount")</f>
        <v>Total 0 tax levy amount</v>
      </c>
      <c r="H61" s="756"/>
      <c r="I61" s="756"/>
      <c r="J61" s="757">
        <f>summ!G52</f>
        <v>0</v>
      </c>
    </row>
    <row r="70" spans="3:4" ht="15.75" hidden="1">
      <c r="C70" s="89">
        <f>IF(C52&gt;C54,"See Tab A","")</f>
      </c>
      <c r="D70" s="89">
        <f>IF(D52&gt;D54,"See Tab C","")</f>
      </c>
    </row>
    <row r="71" spans="3:4" ht="15.75" hidden="1">
      <c r="C71" s="89">
        <f>IF(C53&lt;0,"See Tab B","")</f>
      </c>
      <c r="D71" s="89">
        <f>IF(D53&lt;0,"See Tab D","")</f>
      </c>
    </row>
  </sheetData>
  <sheetProtection sheet="1"/>
  <mergeCells count="6">
    <mergeCell ref="G52:J52"/>
    <mergeCell ref="C55:D55"/>
    <mergeCell ref="C56:D56"/>
    <mergeCell ref="C59:D59"/>
    <mergeCell ref="G35:J35"/>
    <mergeCell ref="G42:J42"/>
  </mergeCells>
  <conditionalFormatting sqref="E55">
    <cfRule type="cellIs" priority="2" dxfId="351" operator="greaterThan" stopIfTrue="1">
      <formula>$E$52/0.95-$E$52</formula>
    </cfRule>
  </conditionalFormatting>
  <conditionalFormatting sqref="E50">
    <cfRule type="cellIs" priority="3" dxfId="351" operator="greaterThan" stopIfTrue="1">
      <formula>$E$52*0.1</formula>
    </cfRule>
  </conditionalFormatting>
  <conditionalFormatting sqref="E27">
    <cfRule type="cellIs" priority="4" dxfId="351" operator="greaterThan" stopIfTrue="1">
      <formula>$E$29*0.1+E59</formula>
    </cfRule>
  </conditionalFormatting>
  <conditionalFormatting sqref="D27">
    <cfRule type="cellIs" priority="5" dxfId="2" operator="greaterThan" stopIfTrue="1">
      <formula>$D$29*0.1</formula>
    </cfRule>
  </conditionalFormatting>
  <conditionalFormatting sqref="C27">
    <cfRule type="cellIs" priority="6" dxfId="2" operator="greaterThan" stopIfTrue="1">
      <formula>$C$29*0.1</formula>
    </cfRule>
  </conditionalFormatting>
  <conditionalFormatting sqref="C50">
    <cfRule type="cellIs" priority="7" dxfId="2" operator="greaterThan" stopIfTrue="1">
      <formula>$C$52*0.1</formula>
    </cfRule>
  </conditionalFormatting>
  <conditionalFormatting sqref="D50">
    <cfRule type="cellIs" priority="8" dxfId="2" operator="greaterThan" stopIfTrue="1">
      <formula>$D$52*0.1</formula>
    </cfRule>
  </conditionalFormatting>
  <conditionalFormatting sqref="C52">
    <cfRule type="cellIs" priority="9" dxfId="2" operator="greaterThan" stopIfTrue="1">
      <formula>$C$54</formula>
    </cfRule>
  </conditionalFormatting>
  <conditionalFormatting sqref="D52">
    <cfRule type="cellIs" priority="10" dxfId="2" operator="greaterThan" stopIfTrue="1">
      <formula>$D$54</formula>
    </cfRule>
  </conditionalFormatting>
  <conditionalFormatting sqref="C53">
    <cfRule type="cellIs" priority="11" dxfId="2" operator="lessThan" stopIfTrue="1">
      <formula>0</formula>
    </cfRule>
  </conditionalFormatting>
  <conditionalFormatting sqref="D53">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65"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dimension ref="B1:K132"/>
  <sheetViews>
    <sheetView workbookViewId="0" topLeftCell="A1">
      <selection activeCell="Q182" sqref="Q182"/>
    </sheetView>
  </sheetViews>
  <sheetFormatPr defaultColWidth="8.796875" defaultRowHeight="15"/>
  <cols>
    <col min="1" max="1" width="2.3984375" style="31" customWidth="1"/>
    <col min="2" max="2" width="31.09765625" style="31" customWidth="1"/>
    <col min="3" max="4" width="15.796875" style="31" customWidth="1"/>
    <col min="5" max="5" width="16.59765625" style="31" customWidth="1"/>
    <col min="6" max="6" width="8.8984375" style="31" customWidth="1"/>
    <col min="7" max="7" width="10.19921875" style="31" customWidth="1"/>
    <col min="8" max="8" width="8.8984375" style="31" customWidth="1"/>
    <col min="9" max="9" width="5.796875" style="31" customWidth="1"/>
    <col min="10" max="10" width="10" style="31" customWidth="1"/>
    <col min="11" max="16384" width="8.8984375" style="31" customWidth="1"/>
  </cols>
  <sheetData>
    <row r="1" spans="2:5" ht="15.75">
      <c r="B1" s="160">
        <f>inputPrYr!C3</f>
        <v>0</v>
      </c>
      <c r="C1" s="45"/>
      <c r="D1" s="45"/>
      <c r="E1" s="230">
        <f>inputPrYr!C5</f>
        <v>0</v>
      </c>
    </row>
    <row r="2" spans="2:5" ht="15.75">
      <c r="B2" s="45"/>
      <c r="C2" s="45"/>
      <c r="D2" s="45"/>
      <c r="E2" s="79"/>
    </row>
    <row r="3" spans="2:5" ht="15.75">
      <c r="B3" s="414" t="s">
        <v>162</v>
      </c>
      <c r="C3" s="45"/>
      <c r="D3" s="45"/>
      <c r="E3" s="243"/>
    </row>
    <row r="4" spans="2:5" ht="15.75">
      <c r="B4" s="146" t="s">
        <v>49</v>
      </c>
      <c r="C4" s="563" t="s">
        <v>811</v>
      </c>
      <c r="D4" s="564" t="s">
        <v>812</v>
      </c>
      <c r="E4" s="114" t="s">
        <v>813</v>
      </c>
    </row>
    <row r="5" spans="2:5" ht="15.75">
      <c r="B5" s="413" t="str">
        <f>inputPrYr!B19</f>
        <v>Road &amp; Bridge</v>
      </c>
      <c r="C5" s="386" t="str">
        <f>CONCATENATE("Actual for ",E1-2,"")</f>
        <v>Actual for -2</v>
      </c>
      <c r="D5" s="386" t="str">
        <f>CONCATENATE("Estimate for ",E1-1,"")</f>
        <v>Estimate for -1</v>
      </c>
      <c r="E5" s="244" t="str">
        <f>CONCATENATE("Year for ",E1,"")</f>
        <v>Year for 0</v>
      </c>
    </row>
    <row r="6" spans="2:5" ht="15.75">
      <c r="B6" s="245" t="s">
        <v>194</v>
      </c>
      <c r="C6" s="411"/>
      <c r="D6" s="385">
        <f>C114</f>
        <v>0</v>
      </c>
      <c r="E6" s="209">
        <f>D114</f>
        <v>0</v>
      </c>
    </row>
    <row r="7" spans="2:5" ht="15.75">
      <c r="B7" s="234" t="s">
        <v>196</v>
      </c>
      <c r="C7" s="132"/>
      <c r="D7" s="132"/>
      <c r="E7" s="81"/>
    </row>
    <row r="8" spans="2:5" ht="15.75">
      <c r="B8" s="245" t="s">
        <v>50</v>
      </c>
      <c r="C8" s="411"/>
      <c r="D8" s="385">
        <f>IF(inputPrYr!H18&gt;0,inputPrYr!H18,inputPrYr!E19)</f>
        <v>0</v>
      </c>
      <c r="E8" s="155" t="s">
        <v>35</v>
      </c>
    </row>
    <row r="9" spans="2:5" ht="15.75">
      <c r="B9" s="245" t="s">
        <v>51</v>
      </c>
      <c r="C9" s="411"/>
      <c r="D9" s="411"/>
      <c r="E9" s="66"/>
    </row>
    <row r="10" spans="2:5" ht="15.75">
      <c r="B10" s="245" t="s">
        <v>52</v>
      </c>
      <c r="C10" s="411"/>
      <c r="D10" s="411"/>
      <c r="E10" s="209" t="str">
        <f>mvalloc!E12</f>
        <v> </v>
      </c>
    </row>
    <row r="11" spans="2:5" ht="15.75">
      <c r="B11" s="245" t="s">
        <v>53</v>
      </c>
      <c r="C11" s="411"/>
      <c r="D11" s="411"/>
      <c r="E11" s="209" t="str">
        <f>mvalloc!F12</f>
        <v> </v>
      </c>
    </row>
    <row r="12" spans="2:5" ht="15.75">
      <c r="B12" s="132" t="s">
        <v>185</v>
      </c>
      <c r="C12" s="411"/>
      <c r="D12" s="411"/>
      <c r="E12" s="209" t="str">
        <f>mvalloc!G12</f>
        <v> </v>
      </c>
    </row>
    <row r="13" spans="2:5" ht="15.75">
      <c r="B13" s="273" t="s">
        <v>955</v>
      </c>
      <c r="C13" s="411"/>
      <c r="D13" s="411"/>
      <c r="E13" s="209" t="str">
        <f>mvalloc!H12</f>
        <v> </v>
      </c>
    </row>
    <row r="14" spans="2:5" ht="15.75">
      <c r="B14" s="273" t="s">
        <v>956</v>
      </c>
      <c r="C14" s="411"/>
      <c r="D14" s="411"/>
      <c r="E14" s="209" t="str">
        <f>mvalloc!I12</f>
        <v> </v>
      </c>
    </row>
    <row r="15" spans="2:5" ht="15.75">
      <c r="B15" s="292" t="s">
        <v>243</v>
      </c>
      <c r="C15" s="411"/>
      <c r="D15" s="411"/>
      <c r="E15" s="61"/>
    </row>
    <row r="16" spans="2:5" ht="15.75">
      <c r="B16" s="292" t="s">
        <v>244</v>
      </c>
      <c r="C16" s="411"/>
      <c r="D16" s="411"/>
      <c r="E16" s="61"/>
    </row>
    <row r="17" spans="2:5" ht="15.75">
      <c r="B17" s="293"/>
      <c r="C17" s="411"/>
      <c r="D17" s="411"/>
      <c r="E17" s="61"/>
    </row>
    <row r="18" spans="2:5" ht="15.75">
      <c r="B18" s="293"/>
      <c r="C18" s="411"/>
      <c r="D18" s="411"/>
      <c r="E18" s="61"/>
    </row>
    <row r="19" spans="2:5" ht="15.75">
      <c r="B19" s="247"/>
      <c r="C19" s="411"/>
      <c r="D19" s="411"/>
      <c r="E19" s="66"/>
    </row>
    <row r="20" spans="2:5" ht="15.75">
      <c r="B20" s="247"/>
      <c r="C20" s="411"/>
      <c r="D20" s="411"/>
      <c r="E20" s="66"/>
    </row>
    <row r="21" spans="2:5" ht="15.75">
      <c r="B21" s="247"/>
      <c r="C21" s="411"/>
      <c r="D21" s="411"/>
      <c r="E21" s="66"/>
    </row>
    <row r="22" spans="2:5" ht="15.75">
      <c r="B22" s="249"/>
      <c r="C22" s="411"/>
      <c r="D22" s="411"/>
      <c r="E22" s="66"/>
    </row>
    <row r="23" spans="2:5" ht="15.75">
      <c r="B23" s="249"/>
      <c r="C23" s="411"/>
      <c r="D23" s="411"/>
      <c r="E23" s="66"/>
    </row>
    <row r="24" spans="2:5" ht="15.75">
      <c r="B24" s="247"/>
      <c r="C24" s="411"/>
      <c r="D24" s="411"/>
      <c r="E24" s="66"/>
    </row>
    <row r="25" spans="2:5" ht="15.75">
      <c r="B25" s="247"/>
      <c r="C25" s="411"/>
      <c r="D25" s="411"/>
      <c r="E25" s="66"/>
    </row>
    <row r="26" spans="2:5" ht="15.75">
      <c r="B26" s="247"/>
      <c r="C26" s="411"/>
      <c r="D26" s="411"/>
      <c r="E26" s="66"/>
    </row>
    <row r="27" spans="2:5" ht="15.75">
      <c r="B27" s="247"/>
      <c r="C27" s="411"/>
      <c r="D27" s="411"/>
      <c r="E27" s="66"/>
    </row>
    <row r="28" spans="2:5" ht="15.75">
      <c r="B28" s="247"/>
      <c r="C28" s="411"/>
      <c r="D28" s="411"/>
      <c r="E28" s="66"/>
    </row>
    <row r="29" spans="2:5" ht="15.75">
      <c r="B29" s="247"/>
      <c r="C29" s="411"/>
      <c r="D29" s="411"/>
      <c r="E29" s="66"/>
    </row>
    <row r="30" spans="2:5" ht="15.75">
      <c r="B30" s="247"/>
      <c r="C30" s="411"/>
      <c r="D30" s="411"/>
      <c r="E30" s="66"/>
    </row>
    <row r="31" spans="2:5" ht="15.75">
      <c r="B31" s="247"/>
      <c r="C31" s="411"/>
      <c r="D31" s="411"/>
      <c r="E31" s="66"/>
    </row>
    <row r="32" spans="2:5" ht="15.75">
      <c r="B32" s="247"/>
      <c r="C32" s="411"/>
      <c r="D32" s="411"/>
      <c r="E32" s="66"/>
    </row>
    <row r="33" spans="2:5" ht="15.75">
      <c r="B33" s="247"/>
      <c r="C33" s="411"/>
      <c r="D33" s="411"/>
      <c r="E33" s="66"/>
    </row>
    <row r="34" spans="2:5" ht="15.75">
      <c r="B34" s="247"/>
      <c r="C34" s="411"/>
      <c r="D34" s="411"/>
      <c r="E34" s="66"/>
    </row>
    <row r="35" spans="2:5" ht="15.75">
      <c r="B35" s="247"/>
      <c r="C35" s="411"/>
      <c r="D35" s="411"/>
      <c r="E35" s="66"/>
    </row>
    <row r="36" spans="2:5" ht="15.75">
      <c r="B36" s="247"/>
      <c r="C36" s="411"/>
      <c r="D36" s="411"/>
      <c r="E36" s="66"/>
    </row>
    <row r="37" spans="2:5" ht="15.75">
      <c r="B37" s="247"/>
      <c r="C37" s="411"/>
      <c r="D37" s="411"/>
      <c r="E37" s="66"/>
    </row>
    <row r="38" spans="2:5" ht="15.75">
      <c r="B38" s="247"/>
      <c r="C38" s="411"/>
      <c r="D38" s="411"/>
      <c r="E38" s="66"/>
    </row>
    <row r="39" spans="2:5" ht="15.75">
      <c r="B39" s="247"/>
      <c r="C39" s="411"/>
      <c r="D39" s="411"/>
      <c r="E39" s="66"/>
    </row>
    <row r="40" spans="2:5" ht="15.75">
      <c r="B40" s="247"/>
      <c r="C40" s="411"/>
      <c r="D40" s="411"/>
      <c r="E40" s="66"/>
    </row>
    <row r="41" spans="2:5" ht="15.75">
      <c r="B41" s="247"/>
      <c r="C41" s="411"/>
      <c r="D41" s="411"/>
      <c r="E41" s="66"/>
    </row>
    <row r="42" spans="2:5" ht="15.75">
      <c r="B42" s="247"/>
      <c r="C42" s="411"/>
      <c r="D42" s="411"/>
      <c r="E42" s="66"/>
    </row>
    <row r="43" spans="2:5" ht="15.75">
      <c r="B43" s="247"/>
      <c r="C43" s="411"/>
      <c r="D43" s="411"/>
      <c r="E43" s="66"/>
    </row>
    <row r="44" spans="2:5" ht="15.75">
      <c r="B44" s="247"/>
      <c r="C44" s="411"/>
      <c r="D44" s="411"/>
      <c r="E44" s="66"/>
    </row>
    <row r="45" spans="2:5" ht="15.75">
      <c r="B45" s="247"/>
      <c r="C45" s="411"/>
      <c r="D45" s="411"/>
      <c r="E45" s="66"/>
    </row>
    <row r="46" spans="2:5" ht="15.75">
      <c r="B46" s="247"/>
      <c r="C46" s="411"/>
      <c r="D46" s="411"/>
      <c r="E46" s="66"/>
    </row>
    <row r="47" spans="2:5" ht="15.75">
      <c r="B47" s="247"/>
      <c r="C47" s="411"/>
      <c r="D47" s="411"/>
      <c r="E47" s="66"/>
    </row>
    <row r="48" spans="2:5" ht="15.75">
      <c r="B48" s="247"/>
      <c r="C48" s="411"/>
      <c r="D48" s="411"/>
      <c r="E48" s="66"/>
    </row>
    <row r="49" spans="2:5" ht="15.75">
      <c r="B49" s="247"/>
      <c r="C49" s="411"/>
      <c r="D49" s="411"/>
      <c r="E49" s="66"/>
    </row>
    <row r="50" spans="2:5" ht="15.75">
      <c r="B50" s="247"/>
      <c r="C50" s="411"/>
      <c r="D50" s="411"/>
      <c r="E50" s="66"/>
    </row>
    <row r="51" spans="2:5" ht="15.75">
      <c r="B51" s="247"/>
      <c r="C51" s="411"/>
      <c r="D51" s="411"/>
      <c r="E51" s="66"/>
    </row>
    <row r="52" spans="2:5" ht="15.75">
      <c r="B52" s="247"/>
      <c r="C52" s="411"/>
      <c r="D52" s="411"/>
      <c r="E52" s="66"/>
    </row>
    <row r="53" spans="2:5" ht="15.75">
      <c r="B53" s="249" t="s">
        <v>57</v>
      </c>
      <c r="C53" s="411"/>
      <c r="D53" s="411"/>
      <c r="E53" s="66"/>
    </row>
    <row r="54" spans="2:5" ht="15.75">
      <c r="B54" s="250" t="s">
        <v>297</v>
      </c>
      <c r="C54" s="411"/>
      <c r="D54" s="411"/>
      <c r="E54" s="280">
        <f>Nhood!E8*-1</f>
        <v>0</v>
      </c>
    </row>
    <row r="55" spans="2:5" ht="15.75">
      <c r="B55" s="250" t="s">
        <v>298</v>
      </c>
      <c r="C55" s="411"/>
      <c r="D55" s="411"/>
      <c r="E55" s="66"/>
    </row>
    <row r="56" spans="2:5" ht="15.75">
      <c r="B56" s="250" t="s">
        <v>673</v>
      </c>
      <c r="C56" s="384">
        <f>IF(C57*0.1&lt;C55,"Exceed 10% Rule","")</f>
      </c>
      <c r="D56" s="384">
        <f>IF(D57*0.1&lt;D55,"Exceed 10% Rule","")</f>
      </c>
      <c r="E56" s="277">
        <f>IF(E57*0.1+E120&lt;E55,"Exceed 10% Rule","")</f>
      </c>
    </row>
    <row r="57" spans="2:5" ht="15.75">
      <c r="B57" s="252" t="s">
        <v>58</v>
      </c>
      <c r="C57" s="388">
        <f>SUM(C8:C55)</f>
        <v>0</v>
      </c>
      <c r="D57" s="388">
        <f>SUM(D8:D55)</f>
        <v>0</v>
      </c>
      <c r="E57" s="296">
        <f>SUM(E9:E55)</f>
        <v>0</v>
      </c>
    </row>
    <row r="58" spans="2:5" ht="15.75">
      <c r="B58" s="252" t="s">
        <v>59</v>
      </c>
      <c r="C58" s="388">
        <f>C6+C57</f>
        <v>0</v>
      </c>
      <c r="D58" s="388">
        <f>D6+D57</f>
        <v>0</v>
      </c>
      <c r="E58" s="296">
        <f>E6+E57</f>
        <v>0</v>
      </c>
    </row>
    <row r="59" spans="2:5" ht="15.75">
      <c r="B59" s="45"/>
      <c r="C59" s="160"/>
      <c r="D59" s="160"/>
      <c r="E59" s="160"/>
    </row>
    <row r="60" spans="2:5" ht="15.75">
      <c r="B60" s="231" t="s">
        <v>115</v>
      </c>
      <c r="C60" s="709"/>
      <c r="D60" s="55"/>
      <c r="E60" s="55"/>
    </row>
    <row r="61" spans="2:5" ht="15.75">
      <c r="B61" s="55"/>
      <c r="C61" s="55"/>
      <c r="D61" s="55"/>
      <c r="E61" s="55"/>
    </row>
    <row r="62" spans="2:5" ht="15.75">
      <c r="B62" s="55"/>
      <c r="C62" s="55"/>
      <c r="D62" s="55"/>
      <c r="E62" s="231">
        <f>E1</f>
        <v>0</v>
      </c>
    </row>
    <row r="63" spans="2:5" ht="15.75">
      <c r="B63" s="160">
        <f>inputPrYr!C3</f>
        <v>0</v>
      </c>
      <c r="C63" s="160"/>
      <c r="D63" s="160"/>
      <c r="E63" s="79"/>
    </row>
    <row r="64" spans="2:5" ht="15.75">
      <c r="B64" s="45"/>
      <c r="C64" s="160"/>
      <c r="D64" s="160"/>
      <c r="E64" s="79"/>
    </row>
    <row r="65" spans="2:5" ht="15.75">
      <c r="B65" s="254" t="s">
        <v>161</v>
      </c>
      <c r="C65" s="255"/>
      <c r="D65" s="255"/>
      <c r="E65" s="255"/>
    </row>
    <row r="66" spans="2:5" ht="15.75">
      <c r="B66" s="45" t="s">
        <v>49</v>
      </c>
      <c r="C66" s="449" t="str">
        <f aca="true" t="shared" si="0" ref="C66:E67">C4</f>
        <v>Prior Year </v>
      </c>
      <c r="D66" s="450" t="str">
        <f t="shared" si="0"/>
        <v>Current Year </v>
      </c>
      <c r="E66" s="448" t="str">
        <f t="shared" si="0"/>
        <v>Proposed Budget </v>
      </c>
    </row>
    <row r="67" spans="2:5" ht="15.75">
      <c r="B67" s="294" t="str">
        <f>B5</f>
        <v>Road &amp; Bridge</v>
      </c>
      <c r="C67" s="386" t="str">
        <f t="shared" si="0"/>
        <v>Actual for -2</v>
      </c>
      <c r="D67" s="386" t="str">
        <f t="shared" si="0"/>
        <v>Estimate for -1</v>
      </c>
      <c r="E67" s="256" t="str">
        <f t="shared" si="0"/>
        <v>Year for 0</v>
      </c>
    </row>
    <row r="68" spans="2:5" ht="15.75">
      <c r="B68" s="252" t="s">
        <v>59</v>
      </c>
      <c r="C68" s="385">
        <f>C58</f>
        <v>0</v>
      </c>
      <c r="D68" s="385">
        <f>D58</f>
        <v>0</v>
      </c>
      <c r="E68" s="209">
        <f>E58</f>
        <v>0</v>
      </c>
    </row>
    <row r="69" spans="2:5" ht="15.75">
      <c r="B69" s="245" t="s">
        <v>245</v>
      </c>
      <c r="C69" s="385"/>
      <c r="D69" s="385"/>
      <c r="E69" s="209"/>
    </row>
    <row r="70" spans="2:5" ht="15.75">
      <c r="B70" s="132" t="str">
        <f>IF(('road-detail'!$B7&gt;" "),('road-detail'!$B7)," ")</f>
        <v>Administration</v>
      </c>
      <c r="C70" s="385">
        <f>'road-detail'!C12</f>
        <v>0</v>
      </c>
      <c r="D70" s="385">
        <f>'road-detail'!D12</f>
        <v>0</v>
      </c>
      <c r="E70" s="209">
        <f>'road-detail'!E12</f>
        <v>0</v>
      </c>
    </row>
    <row r="71" spans="2:5" ht="15.75">
      <c r="B71" s="132" t="str">
        <f>IF(('road-detail'!$B13&gt;" "),('road-detail'!$B13)," ")</f>
        <v>Personal</v>
      </c>
      <c r="C71" s="385">
        <f>'road-detail'!C18</f>
        <v>0</v>
      </c>
      <c r="D71" s="385">
        <f>'road-detail'!D18</f>
        <v>0</v>
      </c>
      <c r="E71" s="209">
        <f>'road-detail'!E18</f>
        <v>0</v>
      </c>
    </row>
    <row r="72" spans="2:5" ht="15.75">
      <c r="B72" s="132" t="str">
        <f>IF(('road-detail'!$B19&gt;" "),('road-detail'!$B19)," ")</f>
        <v>Rock</v>
      </c>
      <c r="C72" s="385">
        <f>'road-detail'!C24</f>
        <v>0</v>
      </c>
      <c r="D72" s="385">
        <f>'road-detail'!D24</f>
        <v>0</v>
      </c>
      <c r="E72" s="209">
        <f>'road-detail'!E24</f>
        <v>0</v>
      </c>
    </row>
    <row r="73" spans="2:5" ht="15.75">
      <c r="B73" s="132" t="str">
        <f>IF(('road-detail'!$B25&gt;" "),('road-detail'!$B25)," ")</f>
        <v>Sealing</v>
      </c>
      <c r="C73" s="385">
        <f>'road-detail'!C30</f>
        <v>0</v>
      </c>
      <c r="D73" s="385">
        <f>'road-detail'!D30</f>
        <v>0</v>
      </c>
      <c r="E73" s="209">
        <f>'road-detail'!E30</f>
        <v>0</v>
      </c>
    </row>
    <row r="74" spans="2:5" ht="15.75">
      <c r="B74" s="132" t="str">
        <f>IF(('road-detail'!$B31&gt;" "),('road-detail'!$B31)," ")</f>
        <v>Pavement</v>
      </c>
      <c r="C74" s="385">
        <f>'road-detail'!C36</f>
        <v>0</v>
      </c>
      <c r="D74" s="385">
        <f>'road-detail'!D36</f>
        <v>0</v>
      </c>
      <c r="E74" s="209">
        <f>'road-detail'!E36</f>
        <v>0</v>
      </c>
    </row>
    <row r="75" spans="2:5" ht="15.75">
      <c r="B75" s="132" t="str">
        <f>IF(('road-detail'!$B37&gt;" "),('road-detail'!$B37)," ")</f>
        <v>Other</v>
      </c>
      <c r="C75" s="385">
        <f>'road-detail'!C42</f>
        <v>0</v>
      </c>
      <c r="D75" s="385">
        <f>'road-detail'!D42</f>
        <v>0</v>
      </c>
      <c r="E75" s="209">
        <f>'road-detail'!E42</f>
        <v>0</v>
      </c>
    </row>
    <row r="76" spans="2:5" ht="15.75">
      <c r="B76" s="132" t="s">
        <v>283</v>
      </c>
      <c r="C76" s="396">
        <f>SUM(C70:C75)</f>
        <v>0</v>
      </c>
      <c r="D76" s="396">
        <f>SUM(D70:D75)</f>
        <v>0</v>
      </c>
      <c r="E76" s="282">
        <f>SUM(E70:E75)</f>
        <v>0</v>
      </c>
    </row>
    <row r="77" spans="2:5" ht="15.75">
      <c r="B77" s="132" t="s">
        <v>246</v>
      </c>
      <c r="C77" s="132"/>
      <c r="D77" s="132"/>
      <c r="E77" s="81"/>
    </row>
    <row r="78" spans="2:5" ht="15.75">
      <c r="B78" s="295"/>
      <c r="C78" s="411"/>
      <c r="D78" s="411"/>
      <c r="E78" s="61"/>
    </row>
    <row r="79" spans="2:5" ht="15.75">
      <c r="B79" s="295"/>
      <c r="C79" s="411"/>
      <c r="D79" s="411"/>
      <c r="E79" s="61"/>
    </row>
    <row r="80" spans="2:5" ht="15.75">
      <c r="B80" s="295"/>
      <c r="C80" s="411"/>
      <c r="D80" s="411"/>
      <c r="E80" s="61"/>
    </row>
    <row r="81" spans="2:5" ht="15.75">
      <c r="B81" s="295"/>
      <c r="C81" s="411"/>
      <c r="D81" s="411"/>
      <c r="E81" s="61"/>
    </row>
    <row r="82" spans="2:5" ht="15.75">
      <c r="B82" s="295"/>
      <c r="C82" s="411"/>
      <c r="D82" s="411"/>
      <c r="E82" s="61"/>
    </row>
    <row r="83" spans="2:5" ht="15.75">
      <c r="B83" s="295"/>
      <c r="C83" s="411"/>
      <c r="D83" s="411"/>
      <c r="E83" s="61"/>
    </row>
    <row r="84" spans="2:5" ht="15.75">
      <c r="B84" s="295"/>
      <c r="C84" s="411"/>
      <c r="D84" s="411"/>
      <c r="E84" s="61"/>
    </row>
    <row r="85" spans="2:5" ht="15.75">
      <c r="B85" s="295"/>
      <c r="C85" s="411"/>
      <c r="D85" s="411"/>
      <c r="E85" s="61"/>
    </row>
    <row r="86" spans="2:5" ht="15.75">
      <c r="B86" s="295"/>
      <c r="C86" s="411"/>
      <c r="D86" s="411"/>
      <c r="E86" s="61"/>
    </row>
    <row r="87" spans="2:5" ht="15.75">
      <c r="B87" s="295"/>
      <c r="C87" s="411"/>
      <c r="D87" s="411"/>
      <c r="E87" s="61"/>
    </row>
    <row r="88" spans="2:5" ht="15.75">
      <c r="B88" s="295"/>
      <c r="C88" s="411"/>
      <c r="D88" s="411"/>
      <c r="E88" s="61"/>
    </row>
    <row r="89" spans="2:5" ht="15.75">
      <c r="B89" s="295"/>
      <c r="C89" s="411"/>
      <c r="D89" s="411"/>
      <c r="E89" s="61"/>
    </row>
    <row r="90" spans="2:5" ht="15.75">
      <c r="B90" s="295"/>
      <c r="C90" s="411"/>
      <c r="D90" s="411"/>
      <c r="E90" s="61"/>
    </row>
    <row r="91" spans="2:5" ht="15.75">
      <c r="B91" s="295"/>
      <c r="C91" s="411"/>
      <c r="D91" s="411"/>
      <c r="E91" s="61"/>
    </row>
    <row r="92" spans="2:5" ht="15.75">
      <c r="B92" s="295"/>
      <c r="C92" s="411"/>
      <c r="D92" s="411"/>
      <c r="E92" s="61"/>
    </row>
    <row r="93" spans="2:5" ht="15.75">
      <c r="B93" s="295"/>
      <c r="C93" s="411"/>
      <c r="D93" s="411"/>
      <c r="E93" s="61"/>
    </row>
    <row r="94" spans="2:5" ht="15.75">
      <c r="B94" s="295"/>
      <c r="C94" s="411"/>
      <c r="D94" s="411"/>
      <c r="E94" s="61"/>
    </row>
    <row r="95" spans="2:5" ht="15.75">
      <c r="B95" s="295"/>
      <c r="C95" s="411"/>
      <c r="D95" s="411"/>
      <c r="E95" s="61"/>
    </row>
    <row r="96" spans="2:10" ht="15.75">
      <c r="B96" s="295"/>
      <c r="C96" s="411"/>
      <c r="D96" s="411"/>
      <c r="E96" s="61"/>
      <c r="G96" s="863" t="str">
        <f>CONCATENATE("Desired Carryover Into ",E1+1,"")</f>
        <v>Desired Carryover Into 1</v>
      </c>
      <c r="H96" s="864"/>
      <c r="I96" s="864"/>
      <c r="J96" s="833"/>
    </row>
    <row r="97" spans="2:10" ht="15.75">
      <c r="B97" s="295"/>
      <c r="C97" s="411"/>
      <c r="D97" s="411"/>
      <c r="E97" s="61"/>
      <c r="G97" s="567"/>
      <c r="H97" s="568"/>
      <c r="I97" s="569"/>
      <c r="J97" s="570"/>
    </row>
    <row r="98" spans="2:10" ht="15.75">
      <c r="B98" s="295"/>
      <c r="C98" s="411"/>
      <c r="D98" s="411"/>
      <c r="E98" s="61"/>
      <c r="G98" s="571" t="s">
        <v>683</v>
      </c>
      <c r="H98" s="569"/>
      <c r="I98" s="569"/>
      <c r="J98" s="572">
        <v>0</v>
      </c>
    </row>
    <row r="99" spans="2:10" ht="15.75">
      <c r="B99" s="295"/>
      <c r="C99" s="411"/>
      <c r="D99" s="411"/>
      <c r="E99" s="61"/>
      <c r="G99" s="567" t="s">
        <v>684</v>
      </c>
      <c r="H99" s="568"/>
      <c r="I99" s="568"/>
      <c r="J99" s="573">
        <f>IF(J98=0,"",ROUND((J98+E120-G111)/inputOth!E5*1000,3)-G116)</f>
      </c>
    </row>
    <row r="100" spans="2:10" ht="15.75">
      <c r="B100" s="295"/>
      <c r="C100" s="411"/>
      <c r="D100" s="411"/>
      <c r="E100" s="61"/>
      <c r="G100" s="574" t="str">
        <f>CONCATENATE("",E1," Tot Exp/Non-Appr Must Be:")</f>
        <v>0 Tot Exp/Non-Appr Must Be:</v>
      </c>
      <c r="H100" s="575"/>
      <c r="I100" s="576"/>
      <c r="J100" s="577">
        <f>IF(J98&gt;0,IF(E117&lt;E58,IF(J98=G111,E117,((J98-G111)*(1-D119))+E58),E117+(J98-G111)),0)</f>
        <v>0</v>
      </c>
    </row>
    <row r="101" spans="2:10" ht="15.75">
      <c r="B101" s="295"/>
      <c r="C101" s="411"/>
      <c r="D101" s="411"/>
      <c r="E101" s="61"/>
      <c r="G101" s="578" t="s">
        <v>814</v>
      </c>
      <c r="H101" s="579"/>
      <c r="I101" s="579"/>
      <c r="J101" s="580">
        <f>IF(J98&gt;0,J100-E117,0)</f>
        <v>0</v>
      </c>
    </row>
    <row r="102" spans="2:5" ht="15.75">
      <c r="B102" s="295"/>
      <c r="C102" s="411"/>
      <c r="D102" s="411"/>
      <c r="E102" s="61"/>
    </row>
    <row r="103" spans="2:10" ht="15.75">
      <c r="B103" s="295"/>
      <c r="C103" s="411"/>
      <c r="D103" s="411"/>
      <c r="E103" s="61"/>
      <c r="G103" s="850" t="str">
        <f>CONCATENATE("Projected Carryover Into ",E1+1,"")</f>
        <v>Projected Carryover Into 1</v>
      </c>
      <c r="H103" s="851"/>
      <c r="I103" s="851"/>
      <c r="J103" s="852"/>
    </row>
    <row r="104" spans="2:10" ht="15.75">
      <c r="B104" s="295"/>
      <c r="C104" s="411"/>
      <c r="D104" s="411"/>
      <c r="E104" s="61"/>
      <c r="G104" s="426"/>
      <c r="H104" s="425"/>
      <c r="I104" s="425"/>
      <c r="J104" s="427"/>
    </row>
    <row r="105" spans="2:10" ht="15.75">
      <c r="B105" s="295"/>
      <c r="C105" s="411"/>
      <c r="D105" s="411"/>
      <c r="E105" s="61"/>
      <c r="G105" s="428">
        <f>D114</f>
        <v>0</v>
      </c>
      <c r="H105" s="429" t="str">
        <f>CONCATENATE("",E1-1," Ending Cash Balance (est.)")</f>
        <v>-1 Ending Cash Balance (est.)</v>
      </c>
      <c r="I105" s="430"/>
      <c r="J105" s="427"/>
    </row>
    <row r="106" spans="2:10" ht="15.75">
      <c r="B106" s="295"/>
      <c r="C106" s="411"/>
      <c r="D106" s="411"/>
      <c r="E106" s="61"/>
      <c r="G106" s="428">
        <f>E57</f>
        <v>0</v>
      </c>
      <c r="H106" s="431" t="str">
        <f>CONCATENATE("",E1," Non-AV Receipts (est.)")</f>
        <v>0 Non-AV Receipts (est.)</v>
      </c>
      <c r="I106" s="430"/>
      <c r="J106" s="427"/>
    </row>
    <row r="107" spans="2:11" ht="15.75">
      <c r="B107" s="295"/>
      <c r="C107" s="411"/>
      <c r="D107" s="411"/>
      <c r="E107" s="61"/>
      <c r="G107" s="432">
        <f>IF(E119&gt;0,E118,E120)</f>
        <v>0</v>
      </c>
      <c r="H107" s="431" t="str">
        <f>CONCATENATE("",E1," Ad Valorem Tax (est.)")</f>
        <v>0 Ad Valorem Tax (est.)</v>
      </c>
      <c r="I107" s="430"/>
      <c r="J107" s="427"/>
      <c r="K107" s="622">
        <f>IF(G107=E120,"","Note: Does not include Delinquent Taxes")</f>
      </c>
    </row>
    <row r="108" spans="2:10" ht="15.75">
      <c r="B108" s="295"/>
      <c r="C108" s="411"/>
      <c r="D108" s="411"/>
      <c r="E108" s="61"/>
      <c r="G108" s="428">
        <f>SUM(G105:G107)</f>
        <v>0</v>
      </c>
      <c r="H108" s="431" t="str">
        <f>CONCATENATE("Total ",E1," Resources Available")</f>
        <v>Total 0 Resources Available</v>
      </c>
      <c r="I108" s="430"/>
      <c r="J108" s="427"/>
    </row>
    <row r="109" spans="2:10" ht="15.75">
      <c r="B109" s="295"/>
      <c r="C109" s="411"/>
      <c r="D109" s="411"/>
      <c r="E109" s="61"/>
      <c r="G109" s="433"/>
      <c r="H109" s="431"/>
      <c r="I109" s="431"/>
      <c r="J109" s="427"/>
    </row>
    <row r="110" spans="2:10" ht="15.75">
      <c r="B110" s="250" t="str">
        <f>CONCATENATE("Cash Forward (",E1," column)")</f>
        <v>Cash Forward (0 column)</v>
      </c>
      <c r="C110" s="411"/>
      <c r="D110" s="411"/>
      <c r="E110" s="61"/>
      <c r="G110" s="432">
        <f>C113*0.05+C113</f>
        <v>0</v>
      </c>
      <c r="H110" s="431" t="str">
        <f>CONCATENATE("Less ",E1-2," Expenditures + 5%")</f>
        <v>Less -2 Expenditures + 5%</v>
      </c>
      <c r="I110" s="430"/>
      <c r="J110" s="427"/>
    </row>
    <row r="111" spans="2:10" ht="15.75">
      <c r="B111" s="250" t="s">
        <v>298</v>
      </c>
      <c r="C111" s="411"/>
      <c r="D111" s="411"/>
      <c r="E111" s="248"/>
      <c r="G111" s="437">
        <f>G108-G110</f>
        <v>0</v>
      </c>
      <c r="H111" s="434" t="str">
        <f>CONCATENATE("Projected ",E1," Carryover (est.)")</f>
        <v>Projected 0 Carryover (est.)</v>
      </c>
      <c r="I111" s="435"/>
      <c r="J111" s="436"/>
    </row>
    <row r="112" spans="2:5" ht="15.75">
      <c r="B112" s="250" t="s">
        <v>674</v>
      </c>
      <c r="C112" s="384">
        <f>IF(C113*0.1&lt;C111,"Exceed 10% Rule","")</f>
      </c>
      <c r="D112" s="384">
        <f>IF(D113*0.1&lt;D111,"Exceed 10% Rule","")</f>
      </c>
      <c r="E112" s="277">
        <f>IF(E113*0.1&lt;E111,"Exceed 10% Rule","")</f>
      </c>
    </row>
    <row r="113" spans="2:10" ht="15.75">
      <c r="B113" s="252" t="s">
        <v>63</v>
      </c>
      <c r="C113" s="412">
        <f>SUM(C76:C111)</f>
        <v>0</v>
      </c>
      <c r="D113" s="412">
        <f>SUM(D76:D111)</f>
        <v>0</v>
      </c>
      <c r="E113" s="298">
        <f>SUM(E76:E111)</f>
        <v>0</v>
      </c>
      <c r="G113" s="860" t="s">
        <v>815</v>
      </c>
      <c r="H113" s="861"/>
      <c r="I113" s="861"/>
      <c r="J113" s="862"/>
    </row>
    <row r="114" spans="2:10" ht="15.75">
      <c r="B114" s="118" t="s">
        <v>195</v>
      </c>
      <c r="C114" s="385">
        <f>C58-C113</f>
        <v>0</v>
      </c>
      <c r="D114" s="385">
        <f>D58-D113</f>
        <v>0</v>
      </c>
      <c r="E114" s="155" t="s">
        <v>35</v>
      </c>
      <c r="G114" s="592"/>
      <c r="H114" s="584"/>
      <c r="I114" s="593"/>
      <c r="J114" s="594"/>
    </row>
    <row r="115" spans="2:10" ht="15.75">
      <c r="B115" s="146" t="str">
        <f>CONCATENATE("",E1-2,"/",E1-1,"/",E1," Budget Authority Amount:")</f>
        <v>-2/-1/0 Budget Authority Amount:</v>
      </c>
      <c r="C115" s="272">
        <f>inputOth!B33</f>
        <v>0</v>
      </c>
      <c r="D115" s="272">
        <f>inputPrYr!D19</f>
        <v>0</v>
      </c>
      <c r="E115" s="209">
        <f>E113</f>
        <v>0</v>
      </c>
      <c r="F115" s="263"/>
      <c r="G115" s="595" t="str">
        <f>summ!H18</f>
        <v>  </v>
      </c>
      <c r="H115" s="584" t="str">
        <f>CONCATENATE("",E1," Fund Mill Rate")</f>
        <v>0 Fund Mill Rate</v>
      </c>
      <c r="I115" s="593"/>
      <c r="J115" s="594"/>
    </row>
    <row r="116" spans="2:10" ht="15.75">
      <c r="B116" s="231"/>
      <c r="C116" s="856" t="s">
        <v>675</v>
      </c>
      <c r="D116" s="857"/>
      <c r="E116" s="66"/>
      <c r="F116" s="423">
        <f>IF(E113/0.95-E113&lt;E116,"Exceeds 5%","")</f>
      </c>
      <c r="G116" s="596" t="str">
        <f>summ!E18</f>
        <v>  </v>
      </c>
      <c r="H116" s="584" t="str">
        <f>CONCATENATE("",E1-1," Fund Mill Rate")</f>
        <v>-1 Fund Mill Rate</v>
      </c>
      <c r="I116" s="593"/>
      <c r="J116" s="594"/>
    </row>
    <row r="117" spans="2:10" ht="15.75">
      <c r="B117" s="417" t="str">
        <f>CONCATENATE(C131,"     ",D131)</f>
        <v>     </v>
      </c>
      <c r="C117" s="858" t="s">
        <v>676</v>
      </c>
      <c r="D117" s="859"/>
      <c r="E117" s="209">
        <f>E113+E116</f>
        <v>0</v>
      </c>
      <c r="G117" s="597">
        <f>summ!H52</f>
        <v>0</v>
      </c>
      <c r="H117" s="584" t="str">
        <f>CONCATENATE("Total ",E1," Mill Rate")</f>
        <v>Total 0 Mill Rate</v>
      </c>
      <c r="I117" s="593"/>
      <c r="J117" s="594"/>
    </row>
    <row r="118" spans="2:10" ht="15.75">
      <c r="B118" s="417" t="str">
        <f>CONCATENATE(C132,"     ",D132)</f>
        <v>     </v>
      </c>
      <c r="C118" s="264"/>
      <c r="D118" s="79" t="s">
        <v>64</v>
      </c>
      <c r="E118" s="209">
        <f>IF(E117-E58&gt;0,E117-E58,0)</f>
        <v>0</v>
      </c>
      <c r="G118" s="596">
        <f>summ!E52</f>
        <v>0</v>
      </c>
      <c r="H118" s="598" t="str">
        <f>CONCATENATE("Total ",E1-1," Mill Rate")</f>
        <v>Total -1 Mill Rate</v>
      </c>
      <c r="I118" s="599"/>
      <c r="J118" s="600"/>
    </row>
    <row r="119" spans="2:5" ht="15.75">
      <c r="B119" s="231"/>
      <c r="C119" s="402" t="s">
        <v>677</v>
      </c>
      <c r="D119" s="624">
        <f>inputOth!$E$24</f>
        <v>0</v>
      </c>
      <c r="E119" s="209">
        <f>IF(D119&gt;0,(E118*D119),0)</f>
        <v>0</v>
      </c>
    </row>
    <row r="120" spans="2:10" ht="15.75">
      <c r="B120" s="45"/>
      <c r="C120" s="854" t="str">
        <f>CONCATENATE("Amount of  ",$E$1-1," Ad Valorem Tax")</f>
        <v>Amount of  -1 Ad Valorem Tax</v>
      </c>
      <c r="D120" s="855"/>
      <c r="E120" s="282">
        <f>E118+E119</f>
        <v>0</v>
      </c>
      <c r="G120" s="741" t="s">
        <v>964</v>
      </c>
      <c r="H120" s="742"/>
      <c r="I120" s="744"/>
      <c r="J120" s="743" t="str">
        <f>cert!F62</f>
        <v>No</v>
      </c>
    </row>
    <row r="121" spans="2:10" ht="15.75">
      <c r="B121" s="45"/>
      <c r="C121" s="45"/>
      <c r="D121" s="45"/>
      <c r="E121" s="45"/>
      <c r="G121" s="745" t="str">
        <f>CONCATENATE("Computed ",E1," tax levy limit amount")</f>
        <v>Computed 0 tax levy limit amount</v>
      </c>
      <c r="H121" s="746"/>
      <c r="I121" s="746"/>
      <c r="J121" s="747">
        <f>computation!J42</f>
        <v>0</v>
      </c>
    </row>
    <row r="122" spans="2:10" ht="15.75">
      <c r="B122" s="55"/>
      <c r="C122" s="55" t="str">
        <f>CONCATENATE("Page No. ",C60,"a")</f>
        <v>Page No. a</v>
      </c>
      <c r="D122" s="146"/>
      <c r="E122" s="55"/>
      <c r="G122" s="748" t="str">
        <f>CONCATENATE("Total ",E1," tax levy amount")</f>
        <v>Total 0 tax levy amount</v>
      </c>
      <c r="H122" s="749"/>
      <c r="I122" s="749"/>
      <c r="J122" s="750">
        <f>summ!G52</f>
        <v>0</v>
      </c>
    </row>
    <row r="131" spans="3:4" ht="15.75" hidden="1">
      <c r="C131" s="31">
        <f>IF(C113&gt;C115,"See Tab A","")</f>
      </c>
      <c r="D131" s="31">
        <f>IF(D113&gt;D115,"See Tab C","")</f>
      </c>
    </row>
    <row r="132" spans="3:4" ht="15.75" hidden="1">
      <c r="C132" s="31">
        <f>IF(C114&lt;0,"See Tab B","")</f>
      </c>
      <c r="D132" s="31">
        <f>IF(D114&lt;0,"See Tab D","")</f>
      </c>
    </row>
  </sheetData>
  <sheetProtection sheet="1"/>
  <mergeCells count="6">
    <mergeCell ref="C116:D116"/>
    <mergeCell ref="C117:D117"/>
    <mergeCell ref="G103:J103"/>
    <mergeCell ref="C120:D120"/>
    <mergeCell ref="G113:J113"/>
    <mergeCell ref="G96:J96"/>
  </mergeCells>
  <conditionalFormatting sqref="C55">
    <cfRule type="cellIs" priority="2" dxfId="351" operator="greaterThan" stopIfTrue="1">
      <formula>$C$57*0.1</formula>
    </cfRule>
  </conditionalFormatting>
  <conditionalFormatting sqref="D55">
    <cfRule type="cellIs" priority="3" dxfId="351" operator="greaterThan" stopIfTrue="1">
      <formula>$D$57*0.1</formula>
    </cfRule>
  </conditionalFormatting>
  <conditionalFormatting sqref="E111">
    <cfRule type="cellIs" priority="4" dxfId="351" operator="greaterThan" stopIfTrue="1">
      <formula>$E$113*0.1</formula>
    </cfRule>
  </conditionalFormatting>
  <conditionalFormatting sqref="E116">
    <cfRule type="cellIs" priority="5" dxfId="351" operator="greaterThan" stopIfTrue="1">
      <formula>$E$113/0.95-$E$113</formula>
    </cfRule>
  </conditionalFormatting>
  <conditionalFormatting sqref="E55">
    <cfRule type="cellIs" priority="6" dxfId="351" operator="greaterThan" stopIfTrue="1">
      <formula>$E$57*0.1+E120</formula>
    </cfRule>
  </conditionalFormatting>
  <conditionalFormatting sqref="C111">
    <cfRule type="cellIs" priority="7" dxfId="2" operator="greaterThan" stopIfTrue="1">
      <formula>$C$113*0.1</formula>
    </cfRule>
  </conditionalFormatting>
  <conditionalFormatting sqref="D111">
    <cfRule type="cellIs" priority="8" dxfId="2" operator="greaterThan" stopIfTrue="1">
      <formula>$D$113*0.1</formula>
    </cfRule>
  </conditionalFormatting>
  <conditionalFormatting sqref="C113">
    <cfRule type="cellIs" priority="9" dxfId="2" operator="greaterThan" stopIfTrue="1">
      <formula>$C$115</formula>
    </cfRule>
  </conditionalFormatting>
  <conditionalFormatting sqref="D113">
    <cfRule type="cellIs" priority="10" dxfId="2" operator="greaterThan" stopIfTrue="1">
      <formula>$D$115</formula>
    </cfRule>
  </conditionalFormatting>
  <conditionalFormatting sqref="C114">
    <cfRule type="cellIs" priority="11" dxfId="2" operator="lessThan" stopIfTrue="1">
      <formula>0</formula>
    </cfRule>
  </conditionalFormatting>
  <conditionalFormatting sqref="D114">
    <cfRule type="cellIs" priority="1" dxfId="0" operator="lessThan" stopIfTrue="1">
      <formula>0</formula>
    </cfRule>
  </conditionalFormatting>
  <printOptions/>
  <pageMargins left="0.75" right="0.75" top="1" bottom="1" header="0.5" footer="0.5"/>
  <pageSetup blackAndWhite="1" fitToHeight="2" horizontalDpi="600" verticalDpi="600" orientation="portrait" scale="65" r:id="rId1"/>
  <headerFooter alignWithMargins="0">
    <oddHeader>&amp;RState of Kansas
County</oddHeader>
  </headerFooter>
  <rowBreaks count="1" manualBreakCount="1">
    <brk id="60" max="255" man="1"/>
  </rowBreaks>
</worksheet>
</file>

<file path=xl/worksheets/sheet17.xml><?xml version="1.0" encoding="utf-8"?>
<worksheet xmlns="http://schemas.openxmlformats.org/spreadsheetml/2006/main" xmlns:r="http://schemas.openxmlformats.org/officeDocument/2006/relationships">
  <sheetPr>
    <pageSetUpPr fitToPage="1"/>
  </sheetPr>
  <dimension ref="B1:E46"/>
  <sheetViews>
    <sheetView zoomScalePageLayoutView="0" workbookViewId="0" topLeftCell="A1">
      <selection activeCell="Q76" sqref="Q76"/>
    </sheetView>
  </sheetViews>
  <sheetFormatPr defaultColWidth="8.796875" defaultRowHeight="15"/>
  <cols>
    <col min="1" max="1" width="2.3984375" style="31" customWidth="1"/>
    <col min="2" max="2" width="28.296875" style="31" customWidth="1"/>
    <col min="3" max="4" width="15.796875" style="31" customWidth="1"/>
    <col min="5" max="5" width="16.19921875" style="31" customWidth="1"/>
    <col min="6" max="16384" width="8.8984375" style="31" customWidth="1"/>
  </cols>
  <sheetData>
    <row r="1" spans="2:5" ht="15.75">
      <c r="B1" s="160">
        <f>inputPrYr!C3</f>
        <v>0</v>
      </c>
      <c r="C1" s="45"/>
      <c r="D1" s="146"/>
      <c r="E1" s="45">
        <f>inputPrYr!C5</f>
        <v>0</v>
      </c>
    </row>
    <row r="2" spans="2:5" ht="15.75">
      <c r="B2" s="45"/>
      <c r="C2" s="45"/>
      <c r="D2" s="45"/>
      <c r="E2" s="146"/>
    </row>
    <row r="3" spans="2:5" ht="15.75">
      <c r="B3" s="169" t="s">
        <v>308</v>
      </c>
      <c r="C3" s="255"/>
      <c r="D3" s="255"/>
      <c r="E3" s="255"/>
    </row>
    <row r="4" spans="2:5" ht="15.75">
      <c r="B4" s="146" t="s">
        <v>49</v>
      </c>
      <c r="C4" s="563" t="s">
        <v>811</v>
      </c>
      <c r="D4" s="564" t="s">
        <v>812</v>
      </c>
      <c r="E4" s="114" t="s">
        <v>813</v>
      </c>
    </row>
    <row r="5" spans="2:5" ht="15.75">
      <c r="B5" s="406" t="s">
        <v>678</v>
      </c>
      <c r="C5" s="386" t="str">
        <f>CONCATENATE("Actual for ",E1-2,"")</f>
        <v>Actual for -2</v>
      </c>
      <c r="D5" s="386" t="str">
        <f>CONCATENATE("Estimate for ",E1-1,"")</f>
        <v>Estimate for -1</v>
      </c>
      <c r="E5" s="244" t="str">
        <f>CONCATENATE("Year for ",E1,"")</f>
        <v>Year for 0</v>
      </c>
    </row>
    <row r="6" spans="2:5" ht="15.75">
      <c r="B6" s="206" t="s">
        <v>62</v>
      </c>
      <c r="C6" s="81"/>
      <c r="D6" s="81"/>
      <c r="E6" s="81"/>
    </row>
    <row r="7" spans="2:5" ht="15.75">
      <c r="B7" s="284" t="s">
        <v>311</v>
      </c>
      <c r="C7" s="81"/>
      <c r="D7" s="81"/>
      <c r="E7" s="81"/>
    </row>
    <row r="8" spans="2:5" ht="15.75">
      <c r="B8" s="285" t="s">
        <v>68</v>
      </c>
      <c r="C8" s="248"/>
      <c r="D8" s="248"/>
      <c r="E8" s="248"/>
    </row>
    <row r="9" spans="2:5" ht="15.75">
      <c r="B9" s="285" t="s">
        <v>69</v>
      </c>
      <c r="C9" s="248"/>
      <c r="D9" s="248"/>
      <c r="E9" s="248"/>
    </row>
    <row r="10" spans="2:5" ht="15.75">
      <c r="B10" s="285" t="s">
        <v>70</v>
      </c>
      <c r="C10" s="248"/>
      <c r="D10" s="248"/>
      <c r="E10" s="248"/>
    </row>
    <row r="11" spans="2:5" ht="15.75">
      <c r="B11" s="285" t="s">
        <v>71</v>
      </c>
      <c r="C11" s="248"/>
      <c r="D11" s="248"/>
      <c r="E11" s="248"/>
    </row>
    <row r="12" spans="2:5" ht="15.75">
      <c r="B12" s="206" t="s">
        <v>19</v>
      </c>
      <c r="C12" s="262">
        <f>SUM(C8:C11)</f>
        <v>0</v>
      </c>
      <c r="D12" s="262">
        <f>SUM(D8:D11)</f>
        <v>0</v>
      </c>
      <c r="E12" s="262">
        <f>SUM(E8:E11)</f>
        <v>0</v>
      </c>
    </row>
    <row r="13" spans="2:5" ht="15.75">
      <c r="B13" s="284" t="s">
        <v>312</v>
      </c>
      <c r="C13" s="81"/>
      <c r="D13" s="81"/>
      <c r="E13" s="81"/>
    </row>
    <row r="14" spans="2:5" ht="15.75">
      <c r="B14" s="285" t="s">
        <v>68</v>
      </c>
      <c r="C14" s="248"/>
      <c r="D14" s="248"/>
      <c r="E14" s="248"/>
    </row>
    <row r="15" spans="2:5" ht="15.75">
      <c r="B15" s="285" t="s">
        <v>69</v>
      </c>
      <c r="C15" s="248"/>
      <c r="D15" s="248"/>
      <c r="E15" s="248"/>
    </row>
    <row r="16" spans="2:5" ht="15.75">
      <c r="B16" s="285" t="s">
        <v>70</v>
      </c>
      <c r="C16" s="248"/>
      <c r="D16" s="248"/>
      <c r="E16" s="248"/>
    </row>
    <row r="17" spans="2:5" ht="15.75">
      <c r="B17" s="285" t="s">
        <v>71</v>
      </c>
      <c r="C17" s="248"/>
      <c r="D17" s="248"/>
      <c r="E17" s="248"/>
    </row>
    <row r="18" spans="2:5" ht="15.75">
      <c r="B18" s="206" t="s">
        <v>19</v>
      </c>
      <c r="C18" s="262">
        <f>SUM(C14:C17)</f>
        <v>0</v>
      </c>
      <c r="D18" s="262">
        <f>SUM(D14:D17)</f>
        <v>0</v>
      </c>
      <c r="E18" s="262">
        <f>SUM(E14:E17)</f>
        <v>0</v>
      </c>
    </row>
    <row r="19" spans="2:5" ht="15.75">
      <c r="B19" s="284" t="s">
        <v>313</v>
      </c>
      <c r="C19" s="81"/>
      <c r="D19" s="81"/>
      <c r="E19" s="81"/>
    </row>
    <row r="20" spans="2:5" ht="15.75">
      <c r="B20" s="285" t="s">
        <v>68</v>
      </c>
      <c r="C20" s="248"/>
      <c r="D20" s="248"/>
      <c r="E20" s="248"/>
    </row>
    <row r="21" spans="2:5" ht="15.75">
      <c r="B21" s="285" t="s">
        <v>69</v>
      </c>
      <c r="C21" s="248"/>
      <c r="D21" s="248"/>
      <c r="E21" s="248"/>
    </row>
    <row r="22" spans="2:5" ht="15.75">
      <c r="B22" s="285" t="s">
        <v>70</v>
      </c>
      <c r="C22" s="248"/>
      <c r="D22" s="248"/>
      <c r="E22" s="248"/>
    </row>
    <row r="23" spans="2:5" ht="15.75">
      <c r="B23" s="285" t="s">
        <v>71</v>
      </c>
      <c r="C23" s="248"/>
      <c r="D23" s="248"/>
      <c r="E23" s="248"/>
    </row>
    <row r="24" spans="2:5" ht="15.75">
      <c r="B24" s="206" t="s">
        <v>19</v>
      </c>
      <c r="C24" s="262">
        <f>SUM(C20:C23)</f>
        <v>0</v>
      </c>
      <c r="D24" s="262">
        <f>SUM(D20:D23)</f>
        <v>0</v>
      </c>
      <c r="E24" s="262">
        <f>SUM(E20:E23)</f>
        <v>0</v>
      </c>
    </row>
    <row r="25" spans="2:5" ht="15.75">
      <c r="B25" s="284" t="s">
        <v>314</v>
      </c>
      <c r="C25" s="81"/>
      <c r="D25" s="81"/>
      <c r="E25" s="81"/>
    </row>
    <row r="26" spans="2:5" ht="15.75">
      <c r="B26" s="285" t="s">
        <v>68</v>
      </c>
      <c r="C26" s="248"/>
      <c r="D26" s="248"/>
      <c r="E26" s="248"/>
    </row>
    <row r="27" spans="2:5" ht="15.75">
      <c r="B27" s="285" t="s">
        <v>69</v>
      </c>
      <c r="C27" s="248"/>
      <c r="D27" s="248"/>
      <c r="E27" s="248"/>
    </row>
    <row r="28" spans="2:5" ht="15.75">
      <c r="B28" s="285" t="s">
        <v>70</v>
      </c>
      <c r="C28" s="248"/>
      <c r="D28" s="248"/>
      <c r="E28" s="248"/>
    </row>
    <row r="29" spans="2:5" ht="15.75">
      <c r="B29" s="285" t="s">
        <v>71</v>
      </c>
      <c r="C29" s="248"/>
      <c r="D29" s="248"/>
      <c r="E29" s="248"/>
    </row>
    <row r="30" spans="2:5" ht="15.75">
      <c r="B30" s="206" t="s">
        <v>19</v>
      </c>
      <c r="C30" s="262">
        <f>SUM(C26:C29)</f>
        <v>0</v>
      </c>
      <c r="D30" s="262">
        <f>SUM(D26:D29)</f>
        <v>0</v>
      </c>
      <c r="E30" s="262">
        <f>SUM(E26:E29)</f>
        <v>0</v>
      </c>
    </row>
    <row r="31" spans="2:5" ht="15.75">
      <c r="B31" s="284" t="s">
        <v>315</v>
      </c>
      <c r="C31" s="81"/>
      <c r="D31" s="81"/>
      <c r="E31" s="81"/>
    </row>
    <row r="32" spans="2:5" ht="15.75">
      <c r="B32" s="285" t="s">
        <v>68</v>
      </c>
      <c r="C32" s="248"/>
      <c r="D32" s="248"/>
      <c r="E32" s="248"/>
    </row>
    <row r="33" spans="2:5" ht="15.75">
      <c r="B33" s="285" t="s">
        <v>69</v>
      </c>
      <c r="C33" s="248"/>
      <c r="D33" s="248"/>
      <c r="E33" s="248"/>
    </row>
    <row r="34" spans="2:5" ht="15.75">
      <c r="B34" s="285" t="s">
        <v>70</v>
      </c>
      <c r="C34" s="248"/>
      <c r="D34" s="248"/>
      <c r="E34" s="248"/>
    </row>
    <row r="35" spans="2:5" ht="15.75">
      <c r="B35" s="285" t="s">
        <v>71</v>
      </c>
      <c r="C35" s="248"/>
      <c r="D35" s="248"/>
      <c r="E35" s="248"/>
    </row>
    <row r="36" spans="2:5" ht="15.75">
      <c r="B36" s="206" t="s">
        <v>19</v>
      </c>
      <c r="C36" s="262">
        <f>SUM(C32:C35)</f>
        <v>0</v>
      </c>
      <c r="D36" s="262">
        <f>SUM(D32:D35)</f>
        <v>0</v>
      </c>
      <c r="E36" s="262">
        <f>SUM(E32:E35)</f>
        <v>0</v>
      </c>
    </row>
    <row r="37" spans="2:5" ht="15.75">
      <c r="B37" s="284" t="s">
        <v>114</v>
      </c>
      <c r="C37" s="81"/>
      <c r="D37" s="81"/>
      <c r="E37" s="81"/>
    </row>
    <row r="38" spans="2:5" ht="15.75">
      <c r="B38" s="285" t="s">
        <v>68</v>
      </c>
      <c r="C38" s="248"/>
      <c r="D38" s="248"/>
      <c r="E38" s="248"/>
    </row>
    <row r="39" spans="2:5" ht="15.75">
      <c r="B39" s="285" t="s">
        <v>69</v>
      </c>
      <c r="C39" s="248"/>
      <c r="D39" s="248"/>
      <c r="E39" s="248"/>
    </row>
    <row r="40" spans="2:5" ht="15.75">
      <c r="B40" s="285" t="s">
        <v>70</v>
      </c>
      <c r="C40" s="248"/>
      <c r="D40" s="248"/>
      <c r="E40" s="248"/>
    </row>
    <row r="41" spans="2:5" ht="15.75">
      <c r="B41" s="285" t="s">
        <v>71</v>
      </c>
      <c r="C41" s="248"/>
      <c r="D41" s="248"/>
      <c r="E41" s="248"/>
    </row>
    <row r="42" spans="2:5" ht="15.75">
      <c r="B42" s="206" t="s">
        <v>19</v>
      </c>
      <c r="C42" s="262">
        <f>SUM(C38:C41)</f>
        <v>0</v>
      </c>
      <c r="D42" s="262">
        <f>SUM(D38:D41)</f>
        <v>0</v>
      </c>
      <c r="E42" s="262">
        <f>SUM(E38:E41)</f>
        <v>0</v>
      </c>
    </row>
    <row r="43" spans="2:5" ht="15.75">
      <c r="B43" s="45" t="s">
        <v>264</v>
      </c>
      <c r="C43" s="258">
        <f>SUM(C12+C18+C24+C30+C36+C42)</f>
        <v>0</v>
      </c>
      <c r="D43" s="258">
        <f>SUM(D12+D18+D24+D30+D36+D42)</f>
        <v>0</v>
      </c>
      <c r="E43" s="258">
        <f>SUM(E12+E18+E24+E30+E36+E42)</f>
        <v>0</v>
      </c>
    </row>
    <row r="44" spans="2:5" ht="15.75">
      <c r="B44" s="45"/>
      <c r="C44" s="46"/>
      <c r="D44" s="46"/>
      <c r="E44" s="46"/>
    </row>
    <row r="45" spans="2:5" ht="15.75">
      <c r="B45" s="865" t="s">
        <v>284</v>
      </c>
      <c r="C45" s="866"/>
      <c r="D45" s="866"/>
      <c r="E45" s="46"/>
    </row>
    <row r="46" spans="2:5" ht="15.75">
      <c r="B46" s="231"/>
      <c r="C46" s="57" t="str">
        <f>CONCATENATE("Page No.",road!C60,"b")</f>
        <v>Page No.b</v>
      </c>
      <c r="D46" s="45"/>
      <c r="E46" s="45"/>
    </row>
  </sheetData>
  <sheetProtection sheet="1"/>
  <mergeCells count="1">
    <mergeCell ref="B45:D45"/>
  </mergeCells>
  <printOptions/>
  <pageMargins left="1.12" right="0.5" top="0.74" bottom="0.34" header="0.5" footer="0"/>
  <pageSetup blackAndWhite="1" fitToHeight="1" fitToWidth="1" horizontalDpi="300" verticalDpi="300" orientation="portrait" scale="93" r:id="rId1"/>
  <headerFooter alignWithMargins="0">
    <oddHeader>&amp;RState of Kansas
County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Q139" sqref="Q139"/>
    </sheetView>
  </sheetViews>
  <sheetFormatPr defaultColWidth="8.796875" defaultRowHeight="15"/>
  <cols>
    <col min="1" max="1" width="2.3984375" style="31" customWidth="1"/>
    <col min="2" max="2" width="31.09765625" style="31" customWidth="1"/>
    <col min="3" max="4" width="15.796875" style="31" customWidth="1"/>
    <col min="5" max="5" width="16.3984375" style="31" customWidth="1"/>
    <col min="6" max="6" width="8.09765625" style="31" customWidth="1"/>
    <col min="7" max="7" width="10.19921875" style="31" customWidth="1"/>
    <col min="8" max="8" width="8.8984375" style="31" customWidth="1"/>
    <col min="9" max="9" width="5.796875" style="31" customWidth="1"/>
    <col min="10" max="10" width="10" style="31" customWidth="1"/>
    <col min="11" max="16384" width="8.8984375" style="31" customWidth="1"/>
  </cols>
  <sheetData>
    <row r="1" spans="2:5" ht="15.75">
      <c r="B1" s="160">
        <f>(inputPrYr!C3)</f>
        <v>0</v>
      </c>
      <c r="C1" s="45"/>
      <c r="D1" s="45"/>
      <c r="E1" s="230">
        <f>inputPrYr!C5</f>
        <v>0</v>
      </c>
    </row>
    <row r="2" spans="2:5" ht="15.75">
      <c r="B2" s="45"/>
      <c r="C2" s="45"/>
      <c r="D2" s="45"/>
      <c r="E2" s="79"/>
    </row>
    <row r="3" spans="2:5" ht="15.75">
      <c r="B3" s="414" t="s">
        <v>162</v>
      </c>
      <c r="C3" s="110"/>
      <c r="D3" s="110"/>
      <c r="E3" s="110"/>
    </row>
    <row r="4" spans="2:5" ht="15.75">
      <c r="B4" s="44" t="s">
        <v>49</v>
      </c>
      <c r="C4" s="563" t="s">
        <v>811</v>
      </c>
      <c r="D4" s="564" t="s">
        <v>812</v>
      </c>
      <c r="E4" s="114" t="s">
        <v>813</v>
      </c>
    </row>
    <row r="5" spans="2:5" ht="15.75">
      <c r="B5" s="405">
        <f>inputPrYr!$B$20</f>
        <v>0</v>
      </c>
      <c r="C5" s="386" t="str">
        <f>CONCATENATE("Actual for ",E1-2,"")</f>
        <v>Actual for -2</v>
      </c>
      <c r="D5" s="386" t="str">
        <f>CONCATENATE("Estimate for ",E1-1,"")</f>
        <v>Estimate for -1</v>
      </c>
      <c r="E5" s="244" t="str">
        <f>CONCATENATE("Year for ",E1,"")</f>
        <v>Year for 0</v>
      </c>
    </row>
    <row r="6" spans="2:5" ht="15.75">
      <c r="B6" s="118" t="s">
        <v>194</v>
      </c>
      <c r="C6" s="411"/>
      <c r="D6" s="385">
        <f>C36</f>
        <v>0</v>
      </c>
      <c r="E6" s="209">
        <f>D36</f>
        <v>0</v>
      </c>
    </row>
    <row r="7" spans="2:5" ht="15.75">
      <c r="B7" s="234" t="s">
        <v>196</v>
      </c>
      <c r="C7" s="132"/>
      <c r="D7" s="132"/>
      <c r="E7" s="81"/>
    </row>
    <row r="8" spans="2:5" ht="15.75">
      <c r="B8" s="118" t="s">
        <v>50</v>
      </c>
      <c r="C8" s="411"/>
      <c r="D8" s="385">
        <f>IF(inputPrYr!H19&gt;0,inputPrYr!H19,inputPrYr!E20)</f>
        <v>0</v>
      </c>
      <c r="E8" s="270" t="s">
        <v>35</v>
      </c>
    </row>
    <row r="9" spans="2:5" ht="15.75">
      <c r="B9" s="118" t="s">
        <v>51</v>
      </c>
      <c r="C9" s="411"/>
      <c r="D9" s="411"/>
      <c r="E9" s="66"/>
    </row>
    <row r="10" spans="2:5" ht="15.75">
      <c r="B10" s="118" t="s">
        <v>52</v>
      </c>
      <c r="C10" s="411"/>
      <c r="D10" s="411"/>
      <c r="E10" s="209" t="str">
        <f>mvalloc!E13</f>
        <v> </v>
      </c>
    </row>
    <row r="11" spans="2:5" ht="15.75">
      <c r="B11" s="118" t="s">
        <v>53</v>
      </c>
      <c r="C11" s="411"/>
      <c r="D11" s="411"/>
      <c r="E11" s="209" t="str">
        <f>mvalloc!F13</f>
        <v> </v>
      </c>
    </row>
    <row r="12" spans="2:5" ht="15.75">
      <c r="B12" s="132" t="s">
        <v>154</v>
      </c>
      <c r="C12" s="411"/>
      <c r="D12" s="411"/>
      <c r="E12" s="209" t="str">
        <f>mvalloc!G13</f>
        <v> </v>
      </c>
    </row>
    <row r="13" spans="2:5" ht="15.75">
      <c r="B13" s="273" t="s">
        <v>955</v>
      </c>
      <c r="C13" s="411"/>
      <c r="D13" s="411"/>
      <c r="E13" s="209" t="str">
        <f>mvalloc!H13</f>
        <v> </v>
      </c>
    </row>
    <row r="14" spans="2:5" ht="15.75">
      <c r="B14" s="273" t="s">
        <v>956</v>
      </c>
      <c r="C14" s="411"/>
      <c r="D14" s="411"/>
      <c r="E14" s="209" t="str">
        <f>mvalloc!I13</f>
        <v> </v>
      </c>
    </row>
    <row r="15" spans="2:5" ht="15.75">
      <c r="B15" s="261"/>
      <c r="C15" s="411"/>
      <c r="D15" s="411"/>
      <c r="E15" s="66"/>
    </row>
    <row r="16" spans="2:5" ht="15.75">
      <c r="B16" s="261"/>
      <c r="C16" s="411"/>
      <c r="D16" s="411"/>
      <c r="E16" s="66"/>
    </row>
    <row r="17" spans="2:10" ht="15.75">
      <c r="B17" s="261"/>
      <c r="C17" s="411"/>
      <c r="D17" s="411"/>
      <c r="E17" s="66"/>
      <c r="G17" s="863" t="str">
        <f>CONCATENATE("Desired Carryover Into ",E1+1,"")</f>
        <v>Desired Carryover Into 1</v>
      </c>
      <c r="H17" s="864"/>
      <c r="I17" s="864"/>
      <c r="J17" s="833"/>
    </row>
    <row r="18" spans="2:10" ht="15.75">
      <c r="B18" s="261"/>
      <c r="C18" s="411"/>
      <c r="D18" s="411"/>
      <c r="E18" s="66"/>
      <c r="G18" s="567"/>
      <c r="H18" s="568"/>
      <c r="I18" s="569"/>
      <c r="J18" s="570"/>
    </row>
    <row r="19" spans="2:10" ht="15.75">
      <c r="B19" s="249" t="s">
        <v>57</v>
      </c>
      <c r="C19" s="411"/>
      <c r="D19" s="411"/>
      <c r="E19" s="66"/>
      <c r="G19" s="571" t="s">
        <v>683</v>
      </c>
      <c r="H19" s="569"/>
      <c r="I19" s="569"/>
      <c r="J19" s="572">
        <v>0</v>
      </c>
    </row>
    <row r="20" spans="2:10" ht="15.75">
      <c r="B20" s="250" t="s">
        <v>297</v>
      </c>
      <c r="C20" s="411"/>
      <c r="D20" s="411"/>
      <c r="E20" s="280">
        <f>Nhood!E9*-1</f>
        <v>0</v>
      </c>
      <c r="G20" s="567" t="s">
        <v>684</v>
      </c>
      <c r="H20" s="568"/>
      <c r="I20" s="568"/>
      <c r="J20" s="573">
        <f>IF(J19=0,"",ROUND((J19+E42-G32)/inputOth!E5*1000,3)-G37)</f>
      </c>
    </row>
    <row r="21" spans="2:10" ht="15.75">
      <c r="B21" s="250" t="s">
        <v>298</v>
      </c>
      <c r="C21" s="411"/>
      <c r="D21" s="411"/>
      <c r="E21" s="66"/>
      <c r="G21" s="574" t="str">
        <f>CONCATENATE("",E1," Tot Exp/Non-Appr Must Be:")</f>
        <v>0 Tot Exp/Non-Appr Must Be:</v>
      </c>
      <c r="H21" s="575"/>
      <c r="I21" s="576"/>
      <c r="J21" s="577">
        <f>IF(J19&gt;0,IF(E39&lt;E24,IF(J19=G32,E39,((J19-G32)*(1-D41))+E24),E39+(J19-G32)),0)</f>
        <v>0</v>
      </c>
    </row>
    <row r="22" spans="2:10" ht="15.75">
      <c r="B22" s="250" t="s">
        <v>300</v>
      </c>
      <c r="C22" s="384">
        <f>IF(C23*0.1&lt;C21,"Exceed 10% Rule","")</f>
      </c>
      <c r="D22" s="384">
        <f>IF(D23*0.1&lt;D21,"Exceed 10% Rule","")</f>
      </c>
      <c r="E22" s="277">
        <f>IF(E23*0.1+E42&lt;E21,"Exceed 10% Rule","")</f>
      </c>
      <c r="G22" s="578" t="s">
        <v>814</v>
      </c>
      <c r="H22" s="579"/>
      <c r="I22" s="579"/>
      <c r="J22" s="580">
        <f>IF(J19&gt;0,J21-E39,0)</f>
        <v>0</v>
      </c>
    </row>
    <row r="23" spans="2:10" ht="15.75">
      <c r="B23" s="252" t="s">
        <v>58</v>
      </c>
      <c r="C23" s="388">
        <f>SUM(C8:C21)</f>
        <v>0</v>
      </c>
      <c r="D23" s="388">
        <f>SUM(D8:D21)</f>
        <v>0</v>
      </c>
      <c r="E23" s="296">
        <f>SUM(E8:E21)</f>
        <v>0</v>
      </c>
      <c r="G23" s="581"/>
      <c r="H23" s="581"/>
      <c r="I23" s="581"/>
      <c r="J23" s="581"/>
    </row>
    <row r="24" spans="2:10" ht="15.75">
      <c r="B24" s="252" t="s">
        <v>59</v>
      </c>
      <c r="C24" s="388">
        <f>C6+C23</f>
        <v>0</v>
      </c>
      <c r="D24" s="388">
        <f>D6+D23</f>
        <v>0</v>
      </c>
      <c r="E24" s="296">
        <f>E6+E23</f>
        <v>0</v>
      </c>
      <c r="G24" s="863" t="str">
        <f>CONCATENATE("Projected Carryover Into ",E1+1,"")</f>
        <v>Projected Carryover Into 1</v>
      </c>
      <c r="H24" s="867"/>
      <c r="I24" s="867"/>
      <c r="J24" s="868"/>
    </row>
    <row r="25" spans="2:10" ht="15.75">
      <c r="B25" s="118" t="s">
        <v>62</v>
      </c>
      <c r="C25" s="250"/>
      <c r="D25" s="250"/>
      <c r="E25" s="128"/>
      <c r="G25" s="567"/>
      <c r="H25" s="569"/>
      <c r="I25" s="569"/>
      <c r="J25" s="582"/>
    </row>
    <row r="26" spans="2:10" ht="15.75">
      <c r="B26" s="261"/>
      <c r="C26" s="411"/>
      <c r="D26" s="411"/>
      <c r="E26" s="66"/>
      <c r="G26" s="583">
        <f>D36</f>
        <v>0</v>
      </c>
      <c r="H26" s="584" t="str">
        <f>CONCATENATE("",E1-1," Ending Cash Balance (est.)")</f>
        <v>-1 Ending Cash Balance (est.)</v>
      </c>
      <c r="I26" s="585"/>
      <c r="J26" s="582"/>
    </row>
    <row r="27" spans="2:10" ht="15.75">
      <c r="B27" s="261"/>
      <c r="C27" s="411"/>
      <c r="D27" s="411"/>
      <c r="E27" s="66"/>
      <c r="G27" s="583">
        <f>E23</f>
        <v>0</v>
      </c>
      <c r="H27" s="569" t="str">
        <f>CONCATENATE("",E1," Non-AV Receipts (est.)")</f>
        <v>0 Non-AV Receipts (est.)</v>
      </c>
      <c r="I27" s="585"/>
      <c r="J27" s="582"/>
    </row>
    <row r="28" spans="2:11" ht="15.75">
      <c r="B28" s="261"/>
      <c r="C28" s="411"/>
      <c r="D28" s="411"/>
      <c r="E28" s="66"/>
      <c r="G28" s="586">
        <f>IF(E41&gt;0,E40,E42)</f>
        <v>0</v>
      </c>
      <c r="H28" s="569" t="str">
        <f>CONCATENATE("",E1," Ad Valorem Tax (est.)")</f>
        <v>0 Ad Valorem Tax (est.)</v>
      </c>
      <c r="I28" s="585"/>
      <c r="J28" s="582"/>
      <c r="K28" s="622">
        <f>IF(G28=E42,"","Note: Does not include Delinquent Taxes")</f>
      </c>
    </row>
    <row r="29" spans="2:10" ht="15.75">
      <c r="B29" s="261"/>
      <c r="C29" s="411"/>
      <c r="D29" s="411"/>
      <c r="E29" s="66"/>
      <c r="G29" s="583">
        <f>SUM(G26:G28)</f>
        <v>0</v>
      </c>
      <c r="H29" s="569" t="str">
        <f>CONCATENATE("Total ",E1," Resources Available")</f>
        <v>Total 0 Resources Available</v>
      </c>
      <c r="I29" s="585"/>
      <c r="J29" s="582"/>
    </row>
    <row r="30" spans="2:10" ht="15.75">
      <c r="B30" s="261"/>
      <c r="C30" s="411"/>
      <c r="D30" s="411"/>
      <c r="E30" s="66"/>
      <c r="G30" s="587"/>
      <c r="H30" s="569"/>
      <c r="I30" s="569"/>
      <c r="J30" s="582"/>
    </row>
    <row r="31" spans="2:10" ht="15.75">
      <c r="B31" s="261"/>
      <c r="C31" s="411"/>
      <c r="D31" s="411"/>
      <c r="E31" s="66"/>
      <c r="G31" s="586">
        <f>ROUND(C35*0.05+C35,0)</f>
        <v>0</v>
      </c>
      <c r="H31" s="569" t="str">
        <f>CONCATENATE("Less ",E1-2," Expenditures + 5%")</f>
        <v>Less -2 Expenditures + 5%</v>
      </c>
      <c r="I31" s="585"/>
      <c r="J31" s="602"/>
    </row>
    <row r="32" spans="2:10" ht="15.75">
      <c r="B32" s="250" t="str">
        <f>CONCATENATE("Cash Forward (",E1," column)")</f>
        <v>Cash Forward (0 column)</v>
      </c>
      <c r="C32" s="411"/>
      <c r="D32" s="411"/>
      <c r="E32" s="66"/>
      <c r="G32" s="588">
        <f>G29-G31</f>
        <v>0</v>
      </c>
      <c r="H32" s="589" t="str">
        <f>CONCATENATE("Projected ",E1+1," carryover (est.)")</f>
        <v>Projected 1 carryover (est.)</v>
      </c>
      <c r="I32" s="590"/>
      <c r="J32" s="591"/>
    </row>
    <row r="33" spans="2:10" ht="15.75">
      <c r="B33" s="250" t="s">
        <v>298</v>
      </c>
      <c r="C33" s="411"/>
      <c r="D33" s="411"/>
      <c r="E33" s="66"/>
      <c r="G33" s="581"/>
      <c r="H33" s="581"/>
      <c r="I33" s="581"/>
      <c r="J33" s="581"/>
    </row>
    <row r="34" spans="2:10" ht="15.75">
      <c r="B34" s="250" t="s">
        <v>299</v>
      </c>
      <c r="C34" s="384">
        <f>IF(C35*0.1&lt;C33,"Exceed 10% Rule","")</f>
      </c>
      <c r="D34" s="384">
        <f>IF(D35*0.1&lt;D33,"Exceed 10% Rule","")</f>
      </c>
      <c r="E34" s="277">
        <f>IF(E35*0.1&lt;E33,"Exceed 10% Rule","")</f>
      </c>
      <c r="G34" s="860" t="s">
        <v>815</v>
      </c>
      <c r="H34" s="861"/>
      <c r="I34" s="861"/>
      <c r="J34" s="862"/>
    </row>
    <row r="35" spans="2:10" ht="15.75">
      <c r="B35" s="252" t="s">
        <v>63</v>
      </c>
      <c r="C35" s="388">
        <f>SUM(C26:C33)</f>
        <v>0</v>
      </c>
      <c r="D35" s="388">
        <f>SUM(D26:D33)</f>
        <v>0</v>
      </c>
      <c r="E35" s="296">
        <f>SUM(E26:E33)</f>
        <v>0</v>
      </c>
      <c r="G35" s="592"/>
      <c r="H35" s="584"/>
      <c r="I35" s="593"/>
      <c r="J35" s="594"/>
    </row>
    <row r="36" spans="2:10" ht="15.75">
      <c r="B36" s="118" t="s">
        <v>195</v>
      </c>
      <c r="C36" s="383">
        <f>C24-C35</f>
        <v>0</v>
      </c>
      <c r="D36" s="383">
        <f>D24-D35</f>
        <v>0</v>
      </c>
      <c r="E36" s="270" t="s">
        <v>35</v>
      </c>
      <c r="G36" s="595" t="str">
        <f>summ!H19</f>
        <v>  </v>
      </c>
      <c r="H36" s="584" t="str">
        <f>CONCATENATE("",E1," Fund Mill Rate")</f>
        <v>0 Fund Mill Rate</v>
      </c>
      <c r="I36" s="593"/>
      <c r="J36" s="594"/>
    </row>
    <row r="37" spans="2:10" ht="15.75">
      <c r="B37" s="146" t="str">
        <f>CONCATENATE("",E1-2,"/",E1-1,"/",E1," Budget Authority Amount:")</f>
        <v>-2/-1/0 Budget Authority Amount:</v>
      </c>
      <c r="C37" s="272">
        <f>inputOth!B34</f>
        <v>0</v>
      </c>
      <c r="D37" s="272">
        <f>inputPrYr!D20</f>
        <v>0</v>
      </c>
      <c r="E37" s="209">
        <f>E35</f>
        <v>0</v>
      </c>
      <c r="F37" s="263"/>
      <c r="G37" s="596" t="str">
        <f>summ!E19</f>
        <v>  </v>
      </c>
      <c r="H37" s="584" t="str">
        <f>CONCATENATE("",E1-1," Fund Mill Rate")</f>
        <v>-1 Fund Mill Rate</v>
      </c>
      <c r="I37" s="593"/>
      <c r="J37" s="594"/>
    </row>
    <row r="38" spans="2:10" ht="15.75">
      <c r="B38" s="231"/>
      <c r="C38" s="856" t="s">
        <v>675</v>
      </c>
      <c r="D38" s="857"/>
      <c r="E38" s="66"/>
      <c r="F38" s="423">
        <f>IF(E35/0.95-E35&lt;E38,"Exceeds 5%","")</f>
      </c>
      <c r="G38" s="597">
        <f>summ!H52</f>
        <v>0</v>
      </c>
      <c r="H38" s="584" t="str">
        <f>CONCATENATE("Total ",E1," Mill Rate")</f>
        <v>Total 0 Mill Rate</v>
      </c>
      <c r="I38" s="593"/>
      <c r="J38" s="594"/>
    </row>
    <row r="39" spans="2:10" ht="15.75">
      <c r="B39" s="417" t="str">
        <f>CONCATENATE(C92,"     ",D92)</f>
        <v>     </v>
      </c>
      <c r="C39" s="858" t="s">
        <v>676</v>
      </c>
      <c r="D39" s="859"/>
      <c r="E39" s="209">
        <f>E35+E38</f>
        <v>0</v>
      </c>
      <c r="G39" s="596">
        <f>summ!E52</f>
        <v>0</v>
      </c>
      <c r="H39" s="598" t="str">
        <f>CONCATENATE("Total ",E1-1," Mill Rate")</f>
        <v>Total -1 Mill Rate</v>
      </c>
      <c r="I39" s="599"/>
      <c r="J39" s="600"/>
    </row>
    <row r="40" spans="2:10" ht="15.75">
      <c r="B40" s="417" t="str">
        <f>CONCATENATE(C93,"      ",D93)</f>
        <v>      </v>
      </c>
      <c r="C40" s="264"/>
      <c r="D40" s="79" t="s">
        <v>64</v>
      </c>
      <c r="E40" s="70">
        <f>IF(E39-E24&gt;0,E39-E24,0)</f>
        <v>0</v>
      </c>
      <c r="G40" s="581"/>
      <c r="H40" s="581"/>
      <c r="I40" s="581"/>
      <c r="J40" s="581"/>
    </row>
    <row r="41" spans="2:10" ht="15.75">
      <c r="B41" s="297"/>
      <c r="C41" s="402" t="s">
        <v>677</v>
      </c>
      <c r="D41" s="624">
        <f>inputOth!$E$24</f>
        <v>0</v>
      </c>
      <c r="E41" s="209">
        <f>ROUND(IF(D41&gt;0,(E40*D41),0),0)</f>
        <v>0</v>
      </c>
      <c r="G41" s="741" t="s">
        <v>964</v>
      </c>
      <c r="H41" s="742"/>
      <c r="I41" s="744"/>
      <c r="J41" s="743" t="str">
        <f>cert!F62</f>
        <v>No</v>
      </c>
    </row>
    <row r="42" spans="2:10" ht="15.75">
      <c r="B42" s="45"/>
      <c r="C42" s="854" t="str">
        <f>CONCATENATE("Amount of  ",$E$1-1," Ad Valorem Tax")</f>
        <v>Amount of  -1 Ad Valorem Tax</v>
      </c>
      <c r="D42" s="855"/>
      <c r="E42" s="282">
        <f>E40+E41</f>
        <v>0</v>
      </c>
      <c r="G42" s="758" t="str">
        <f>CONCATENATE("Computed ",E1," tax levy limit amount")</f>
        <v>Computed 0 tax levy limit amount</v>
      </c>
      <c r="H42" s="759"/>
      <c r="I42" s="759"/>
      <c r="J42" s="760">
        <f>computation!J42</f>
        <v>0</v>
      </c>
    </row>
    <row r="43" spans="2:10" ht="15.75">
      <c r="B43" s="45"/>
      <c r="C43" s="547"/>
      <c r="D43" s="45"/>
      <c r="E43" s="45"/>
      <c r="G43" s="761" t="str">
        <f>CONCATENATE("Total ",E1," tax levy amount")</f>
        <v>Total 0 tax levy amount</v>
      </c>
      <c r="H43" s="762"/>
      <c r="I43" s="762"/>
      <c r="J43" s="763">
        <f>summ!G52</f>
        <v>0</v>
      </c>
    </row>
    <row r="44" spans="2:10" ht="15.75">
      <c r="B44" s="45"/>
      <c r="C44" s="547"/>
      <c r="D44" s="45"/>
      <c r="E44" s="45"/>
      <c r="G44" s="581"/>
      <c r="H44" s="581"/>
      <c r="I44" s="581"/>
      <c r="J44" s="581"/>
    </row>
    <row r="45" spans="2:10" ht="15.75">
      <c r="B45" s="45"/>
      <c r="C45" s="110"/>
      <c r="D45" s="110"/>
      <c r="E45" s="110"/>
      <c r="G45" s="581"/>
      <c r="H45" s="581"/>
      <c r="I45" s="581"/>
      <c r="J45" s="581"/>
    </row>
    <row r="46" spans="2:10" ht="15.75">
      <c r="B46" s="44" t="s">
        <v>49</v>
      </c>
      <c r="C46" s="563" t="str">
        <f aca="true" t="shared" si="0" ref="C46:E47">C4</f>
        <v>Prior Year </v>
      </c>
      <c r="D46" s="564" t="str">
        <f t="shared" si="0"/>
        <v>Current Year </v>
      </c>
      <c r="E46" s="114" t="str">
        <f t="shared" si="0"/>
        <v>Proposed Budget </v>
      </c>
      <c r="G46" s="581"/>
      <c r="H46" s="581"/>
      <c r="I46" s="581"/>
      <c r="J46" s="581"/>
    </row>
    <row r="47" spans="2:10" ht="15.75">
      <c r="B47" s="405">
        <f>inputPrYr!$B$21</f>
        <v>0</v>
      </c>
      <c r="C47" s="386" t="str">
        <f t="shared" si="0"/>
        <v>Actual for -2</v>
      </c>
      <c r="D47" s="386" t="str">
        <f t="shared" si="0"/>
        <v>Estimate for -1</v>
      </c>
      <c r="E47" s="256" t="str">
        <f t="shared" si="0"/>
        <v>Year for 0</v>
      </c>
      <c r="G47" s="581"/>
      <c r="H47" s="581"/>
      <c r="I47" s="581"/>
      <c r="J47" s="581"/>
    </row>
    <row r="48" spans="2:10" ht="15.75">
      <c r="B48" s="118" t="s">
        <v>194</v>
      </c>
      <c r="C48" s="411"/>
      <c r="D48" s="385">
        <f>C78</f>
        <v>0</v>
      </c>
      <c r="E48" s="209">
        <f>D78</f>
        <v>0</v>
      </c>
      <c r="G48" s="581"/>
      <c r="H48" s="581"/>
      <c r="I48" s="581"/>
      <c r="J48" s="581"/>
    </row>
    <row r="49" spans="2:10" ht="15.75">
      <c r="B49" s="245" t="s">
        <v>196</v>
      </c>
      <c r="C49" s="132"/>
      <c r="D49" s="132"/>
      <c r="E49" s="81"/>
      <c r="G49" s="581"/>
      <c r="H49" s="581"/>
      <c r="I49" s="581"/>
      <c r="J49" s="581"/>
    </row>
    <row r="50" spans="2:10" ht="15.75">
      <c r="B50" s="118" t="s">
        <v>50</v>
      </c>
      <c r="C50" s="411"/>
      <c r="D50" s="385">
        <f>IF(inputPrYr!H20&gt;0,inputPrYr!H20,inputPrYr!E21)</f>
        <v>0</v>
      </c>
      <c r="E50" s="270" t="s">
        <v>35</v>
      </c>
      <c r="G50" s="581"/>
      <c r="H50" s="581"/>
      <c r="I50" s="581"/>
      <c r="J50" s="581"/>
    </row>
    <row r="51" spans="2:10" ht="15.75">
      <c r="B51" s="118" t="s">
        <v>51</v>
      </c>
      <c r="C51" s="411"/>
      <c r="D51" s="411"/>
      <c r="E51" s="66"/>
      <c r="G51" s="581"/>
      <c r="H51" s="581"/>
      <c r="I51" s="581"/>
      <c r="J51" s="581"/>
    </row>
    <row r="52" spans="2:10" ht="15.75">
      <c r="B52" s="118" t="s">
        <v>52</v>
      </c>
      <c r="C52" s="411"/>
      <c r="D52" s="411"/>
      <c r="E52" s="209" t="str">
        <f>mvalloc!E14</f>
        <v> </v>
      </c>
      <c r="G52" s="581"/>
      <c r="H52" s="581"/>
      <c r="I52" s="581"/>
      <c r="J52" s="581"/>
    </row>
    <row r="53" spans="2:10" ht="15.75">
      <c r="B53" s="118" t="s">
        <v>53</v>
      </c>
      <c r="C53" s="411"/>
      <c r="D53" s="411"/>
      <c r="E53" s="209" t="str">
        <f>mvalloc!F14</f>
        <v> </v>
      </c>
      <c r="G53" s="581"/>
      <c r="H53" s="581"/>
      <c r="I53" s="581"/>
      <c r="J53" s="581"/>
    </row>
    <row r="54" spans="2:10" ht="15.75">
      <c r="B54" s="132" t="s">
        <v>154</v>
      </c>
      <c r="C54" s="411"/>
      <c r="D54" s="411"/>
      <c r="E54" s="209" t="str">
        <f>mvalloc!G14</f>
        <v> </v>
      </c>
      <c r="G54" s="581"/>
      <c r="H54" s="581"/>
      <c r="I54" s="581"/>
      <c r="J54" s="581"/>
    </row>
    <row r="55" spans="2:10" ht="15.75">
      <c r="B55" s="273" t="s">
        <v>955</v>
      </c>
      <c r="C55" s="411"/>
      <c r="D55" s="411"/>
      <c r="E55" s="209" t="str">
        <f>mvalloc!H14</f>
        <v> </v>
      </c>
      <c r="G55" s="581"/>
      <c r="H55" s="581"/>
      <c r="I55" s="581"/>
      <c r="J55" s="581"/>
    </row>
    <row r="56" spans="2:10" ht="15.75">
      <c r="B56" s="273" t="s">
        <v>956</v>
      </c>
      <c r="C56" s="411"/>
      <c r="D56" s="411"/>
      <c r="E56" s="209" t="str">
        <f>mvalloc!I14</f>
        <v> </v>
      </c>
      <c r="G56" s="581"/>
      <c r="H56" s="581"/>
      <c r="I56" s="581"/>
      <c r="J56" s="581"/>
    </row>
    <row r="57" spans="2:10" ht="15.75">
      <c r="B57" s="261"/>
      <c r="C57" s="411"/>
      <c r="D57" s="411"/>
      <c r="E57" s="66"/>
      <c r="G57" s="581"/>
      <c r="H57" s="581"/>
      <c r="I57" s="581"/>
      <c r="J57" s="581"/>
    </row>
    <row r="58" spans="2:10" ht="15.75">
      <c r="B58" s="261"/>
      <c r="C58" s="411"/>
      <c r="D58" s="411"/>
      <c r="E58" s="66"/>
      <c r="G58" s="581"/>
      <c r="H58" s="581"/>
      <c r="I58" s="581"/>
      <c r="J58" s="581"/>
    </row>
    <row r="59" spans="2:10" ht="15.75">
      <c r="B59" s="261"/>
      <c r="C59" s="411"/>
      <c r="D59" s="411"/>
      <c r="E59" s="66"/>
      <c r="G59" s="863" t="str">
        <f>CONCATENATE("Desired Carryover Into ",E1+1,"")</f>
        <v>Desired Carryover Into 1</v>
      </c>
      <c r="H59" s="864"/>
      <c r="I59" s="864"/>
      <c r="J59" s="833"/>
    </row>
    <row r="60" spans="2:10" ht="15.75">
      <c r="B60" s="261"/>
      <c r="C60" s="411"/>
      <c r="D60" s="411"/>
      <c r="E60" s="66"/>
      <c r="G60" s="567"/>
      <c r="H60" s="568"/>
      <c r="I60" s="569"/>
      <c r="J60" s="570"/>
    </row>
    <row r="61" spans="2:10" ht="15.75">
      <c r="B61" s="249" t="s">
        <v>57</v>
      </c>
      <c r="C61" s="411"/>
      <c r="D61" s="411"/>
      <c r="E61" s="66"/>
      <c r="G61" s="571" t="s">
        <v>683</v>
      </c>
      <c r="H61" s="569"/>
      <c r="I61" s="569"/>
      <c r="J61" s="572"/>
    </row>
    <row r="62" spans="2:10" ht="15.75">
      <c r="B62" s="250" t="s">
        <v>297</v>
      </c>
      <c r="C62" s="411"/>
      <c r="D62" s="411"/>
      <c r="E62" s="280">
        <f>Nhood!E10*-1</f>
        <v>0</v>
      </c>
      <c r="G62" s="567" t="s">
        <v>684</v>
      </c>
      <c r="H62" s="568"/>
      <c r="I62" s="568"/>
      <c r="J62" s="573">
        <f>IF(J61=0,"",ROUND((J61+E84-G74)/inputOth!E5*1000,3)-G79)</f>
      </c>
    </row>
    <row r="63" spans="2:10" ht="15.75">
      <c r="B63" s="250" t="s">
        <v>298</v>
      </c>
      <c r="C63" s="411"/>
      <c r="D63" s="411"/>
      <c r="E63" s="66"/>
      <c r="G63" s="574" t="str">
        <f>CONCATENATE("",E1," Tot Exp/Non-Appr Must Be:")</f>
        <v>0 Tot Exp/Non-Appr Must Be:</v>
      </c>
      <c r="H63" s="575"/>
      <c r="I63" s="576"/>
      <c r="J63" s="577">
        <f>IF(J61&gt;0,IF(E81&lt;E66,IF(J61=G74,E81,((J61-G74)*(1-D83))+E66),E81+(J61-G74)),0)</f>
        <v>0</v>
      </c>
    </row>
    <row r="64" spans="2:10" ht="15.75">
      <c r="B64" s="250" t="s">
        <v>300</v>
      </c>
      <c r="C64" s="384">
        <f>IF(C65*0.1&lt;C63,"Exceed 10% Rule","")</f>
      </c>
      <c r="D64" s="384">
        <f>IF(D65*0.1&lt;D63,"Exceed 10% Rule","")</f>
      </c>
      <c r="E64" s="277">
        <f>IF((E65+E84)*0.1&lt;E63,"Exceed 10% Rule","")</f>
      </c>
      <c r="G64" s="578" t="s">
        <v>814</v>
      </c>
      <c r="H64" s="579"/>
      <c r="I64" s="579"/>
      <c r="J64" s="580">
        <f>IF(J61&gt;0,J63-E81,0)</f>
        <v>0</v>
      </c>
    </row>
    <row r="65" spans="2:10" ht="15.75">
      <c r="B65" s="252" t="s">
        <v>58</v>
      </c>
      <c r="C65" s="388">
        <f>SUM(C50:C63)</f>
        <v>0</v>
      </c>
      <c r="D65" s="388">
        <f>SUM(D50:D63)</f>
        <v>0</v>
      </c>
      <c r="E65" s="296">
        <f>SUM(E50:E63)</f>
        <v>0</v>
      </c>
      <c r="G65" s="581"/>
      <c r="H65" s="581"/>
      <c r="I65" s="581"/>
      <c r="J65" s="581"/>
    </row>
    <row r="66" spans="2:10" ht="15.75">
      <c r="B66" s="252" t="s">
        <v>59</v>
      </c>
      <c r="C66" s="388">
        <f>C48+C65</f>
        <v>0</v>
      </c>
      <c r="D66" s="388">
        <f>D48+D65</f>
        <v>0</v>
      </c>
      <c r="E66" s="296">
        <f>E48+E65</f>
        <v>0</v>
      </c>
      <c r="G66" s="863" t="str">
        <f>CONCATENATE("Projected Carryover Into ",E1+1,"")</f>
        <v>Projected Carryover Into 1</v>
      </c>
      <c r="H66" s="869"/>
      <c r="I66" s="869"/>
      <c r="J66" s="868"/>
    </row>
    <row r="67" spans="2:10" ht="15.75">
      <c r="B67" s="118" t="s">
        <v>62</v>
      </c>
      <c r="C67" s="250"/>
      <c r="D67" s="250"/>
      <c r="E67" s="128"/>
      <c r="G67" s="601"/>
      <c r="H67" s="568"/>
      <c r="I67" s="568"/>
      <c r="J67" s="602"/>
    </row>
    <row r="68" spans="2:10" ht="15.75">
      <c r="B68" s="261"/>
      <c r="C68" s="411"/>
      <c r="D68" s="411"/>
      <c r="E68" s="66"/>
      <c r="G68" s="583">
        <f>D78</f>
        <v>0</v>
      </c>
      <c r="H68" s="584" t="str">
        <f>CONCATENATE("",E1-1," Ending Cash Balance (est.)")</f>
        <v>-1 Ending Cash Balance (est.)</v>
      </c>
      <c r="I68" s="585"/>
      <c r="J68" s="602"/>
    </row>
    <row r="69" spans="2:10" ht="15.75">
      <c r="B69" s="261"/>
      <c r="C69" s="411"/>
      <c r="D69" s="411"/>
      <c r="E69" s="66"/>
      <c r="G69" s="583">
        <f>E65</f>
        <v>0</v>
      </c>
      <c r="H69" s="569" t="str">
        <f>CONCATENATE("",E1," Non-AV Receipts (est.)")</f>
        <v>0 Non-AV Receipts (est.)</v>
      </c>
      <c r="I69" s="585"/>
      <c r="J69" s="602"/>
    </row>
    <row r="70" spans="2:11" ht="15.75">
      <c r="B70" s="261"/>
      <c r="C70" s="411"/>
      <c r="D70" s="411"/>
      <c r="E70" s="66"/>
      <c r="G70" s="586">
        <f>IF(E83&gt;0,E82,E84)</f>
        <v>0</v>
      </c>
      <c r="H70" s="569" t="str">
        <f>CONCATENATE("",E1," Ad Valorem Tax (est.)")</f>
        <v>0 Ad Valorem Tax (est.)</v>
      </c>
      <c r="I70" s="585"/>
      <c r="J70" s="602"/>
      <c r="K70" s="622">
        <f>IF(G70=E84,"","Note: Does not include Delinquent Taxes")</f>
      </c>
    </row>
    <row r="71" spans="2:10" ht="15.75">
      <c r="B71" s="261"/>
      <c r="C71" s="411"/>
      <c r="D71" s="411"/>
      <c r="E71" s="66"/>
      <c r="G71" s="603">
        <f>SUM(G68:G70)</f>
        <v>0</v>
      </c>
      <c r="H71" s="569" t="str">
        <f>CONCATENATE("Total ",E1," Resources Available")</f>
        <v>Total 0 Resources Available</v>
      </c>
      <c r="I71" s="604"/>
      <c r="J71" s="602"/>
    </row>
    <row r="72" spans="2:10" ht="15.75">
      <c r="B72" s="261"/>
      <c r="C72" s="411"/>
      <c r="D72" s="411"/>
      <c r="E72" s="66"/>
      <c r="G72" s="605"/>
      <c r="H72" s="606"/>
      <c r="I72" s="568"/>
      <c r="J72" s="602"/>
    </row>
    <row r="73" spans="2:10" ht="15.75">
      <c r="B73" s="261"/>
      <c r="C73" s="411"/>
      <c r="D73" s="411"/>
      <c r="E73" s="66"/>
      <c r="G73" s="607">
        <f>ROUND(C77*0.05+C77,0)</f>
        <v>0</v>
      </c>
      <c r="H73" s="569" t="str">
        <f>CONCATENATE("Less ",E1-2," Expenditures + 5%")</f>
        <v>Less -2 Expenditures + 5%</v>
      </c>
      <c r="I73" s="604"/>
      <c r="J73" s="602"/>
    </row>
    <row r="74" spans="2:10" ht="15.75">
      <c r="B74" s="250" t="str">
        <f>CONCATENATE("Cash Forward (",E1," column)")</f>
        <v>Cash Forward (0 column)</v>
      </c>
      <c r="C74" s="411"/>
      <c r="D74" s="411"/>
      <c r="E74" s="66"/>
      <c r="G74" s="608">
        <f>G71-G73</f>
        <v>0</v>
      </c>
      <c r="H74" s="589" t="str">
        <f>CONCATENATE("Projected ",E1+1," carryover (est.)")</f>
        <v>Projected 1 carryover (est.)</v>
      </c>
      <c r="I74" s="609"/>
      <c r="J74" s="610"/>
    </row>
    <row r="75" spans="2:10" ht="15.75">
      <c r="B75" s="250" t="s">
        <v>298</v>
      </c>
      <c r="C75" s="411"/>
      <c r="D75" s="411"/>
      <c r="E75" s="66"/>
      <c r="G75" s="581"/>
      <c r="H75" s="581"/>
      <c r="I75" s="581"/>
      <c r="J75" s="581"/>
    </row>
    <row r="76" spans="2:10" ht="15.75">
      <c r="B76" s="250" t="s">
        <v>299</v>
      </c>
      <c r="C76" s="384">
        <f>IF(C77*0.1&lt;C75,"Exceed 10% Rule","")</f>
      </c>
      <c r="D76" s="384">
        <f>IF(D77*0.1&lt;D75,"Exceed 10% Rule","")</f>
      </c>
      <c r="E76" s="277">
        <f>IF(E77*0.1&lt;E75,"Exceed 10% Rule","")</f>
      </c>
      <c r="G76" s="860" t="s">
        <v>815</v>
      </c>
      <c r="H76" s="861"/>
      <c r="I76" s="861"/>
      <c r="J76" s="862"/>
    </row>
    <row r="77" spans="2:10" ht="15.75">
      <c r="B77" s="252" t="s">
        <v>63</v>
      </c>
      <c r="C77" s="388">
        <f>SUM(C68:C75)</f>
        <v>0</v>
      </c>
      <c r="D77" s="388">
        <f>SUM(D68:D75)</f>
        <v>0</v>
      </c>
      <c r="E77" s="296">
        <f>SUM(E68:E75)</f>
        <v>0</v>
      </c>
      <c r="G77" s="592"/>
      <c r="H77" s="584"/>
      <c r="I77" s="593"/>
      <c r="J77" s="594"/>
    </row>
    <row r="78" spans="2:10" ht="15.75">
      <c r="B78" s="118" t="s">
        <v>195</v>
      </c>
      <c r="C78" s="383">
        <f>C66-C77</f>
        <v>0</v>
      </c>
      <c r="D78" s="383">
        <f>D66-D77</f>
        <v>0</v>
      </c>
      <c r="E78" s="270" t="s">
        <v>35</v>
      </c>
      <c r="G78" s="595" t="str">
        <f>summ!H20</f>
        <v>  </v>
      </c>
      <c r="H78" s="584" t="str">
        <f>CONCATENATE("",E1," Fund Mill Rate")</f>
        <v>0 Fund Mill Rate</v>
      </c>
      <c r="I78" s="593"/>
      <c r="J78" s="594"/>
    </row>
    <row r="79" spans="2:10" ht="15.75">
      <c r="B79" s="146" t="str">
        <f>CONCATENATE("",E1-2,"/",E1-1,"/",E1," Budget Authority Amount:")</f>
        <v>-2/-1/0 Budget Authority Amount:</v>
      </c>
      <c r="C79" s="272">
        <f>inputOth!B35</f>
        <v>0</v>
      </c>
      <c r="D79" s="272">
        <f>inputPrYr!D21</f>
        <v>0</v>
      </c>
      <c r="E79" s="209">
        <f>E77</f>
        <v>0</v>
      </c>
      <c r="F79" s="263"/>
      <c r="G79" s="596" t="str">
        <f>summ!E20</f>
        <v>  </v>
      </c>
      <c r="H79" s="584" t="str">
        <f>CONCATENATE("",E1-1," Fund Mill Rate")</f>
        <v>-1 Fund Mill Rate</v>
      </c>
      <c r="I79" s="593"/>
      <c r="J79" s="594"/>
    </row>
    <row r="80" spans="2:10" ht="15.75">
      <c r="B80" s="231"/>
      <c r="C80" s="856" t="s">
        <v>675</v>
      </c>
      <c r="D80" s="857"/>
      <c r="E80" s="66"/>
      <c r="F80" s="423">
        <f>IF(E77/0.95-E77&lt;E80,"Exceeds 5%","")</f>
      </c>
      <c r="G80" s="597">
        <f>summ!H52</f>
        <v>0</v>
      </c>
      <c r="H80" s="584" t="str">
        <f>CONCATENATE("Total ",E1," Mill Rate")</f>
        <v>Total 0 Mill Rate</v>
      </c>
      <c r="I80" s="593"/>
      <c r="J80" s="594"/>
    </row>
    <row r="81" spans="2:10" ht="15.75">
      <c r="B81" s="417" t="str">
        <f>CONCATENATE(C94,"      ",D94)</f>
        <v>      </v>
      </c>
      <c r="C81" s="858" t="s">
        <v>676</v>
      </c>
      <c r="D81" s="859"/>
      <c r="E81" s="209">
        <f>E77+E80</f>
        <v>0</v>
      </c>
      <c r="G81" s="596">
        <f>summ!E52</f>
        <v>0</v>
      </c>
      <c r="H81" s="598" t="str">
        <f>CONCATENATE("Total ",E1-1," Mill Rate")</f>
        <v>Total -1 Mill Rate</v>
      </c>
      <c r="I81" s="599"/>
      <c r="J81" s="600"/>
    </row>
    <row r="82" spans="2:5" ht="15.75">
      <c r="B82" s="417" t="str">
        <f>CONCATENATE(C95,"      ",D95)</f>
        <v>      </v>
      </c>
      <c r="C82" s="264"/>
      <c r="D82" s="79" t="s">
        <v>64</v>
      </c>
      <c r="E82" s="70">
        <f>IF(E81-E66&gt;0,E81-E66,0)</f>
        <v>0</v>
      </c>
    </row>
    <row r="83" spans="2:10" ht="15.75">
      <c r="B83" s="79"/>
      <c r="C83" s="402" t="s">
        <v>677</v>
      </c>
      <c r="D83" s="624">
        <f>inputOth!$E$24</f>
        <v>0</v>
      </c>
      <c r="E83" s="209">
        <f>ROUND(IF(D83&gt;0,(E82*D83),0),0)</f>
        <v>0</v>
      </c>
      <c r="G83" s="741" t="s">
        <v>964</v>
      </c>
      <c r="H83" s="742"/>
      <c r="I83" s="744"/>
      <c r="J83" s="743" t="str">
        <f>cert!F62</f>
        <v>No</v>
      </c>
    </row>
    <row r="84" spans="2:10" ht="15.75">
      <c r="B84" s="45"/>
      <c r="C84" s="854" t="str">
        <f>CONCATENATE("Amount of  ",$E$1-1," Ad Valorem Tax")</f>
        <v>Amount of  -1 Ad Valorem Tax</v>
      </c>
      <c r="D84" s="855"/>
      <c r="E84" s="282">
        <f>E82+E83</f>
        <v>0</v>
      </c>
      <c r="G84" s="745" t="str">
        <f>CONCATENATE("Computed ",E1," tax levy limit amount")</f>
        <v>Computed 0 tax levy limit amount</v>
      </c>
      <c r="H84" s="746"/>
      <c r="I84" s="746"/>
      <c r="J84" s="747">
        <f>computation!J42</f>
        <v>0</v>
      </c>
    </row>
    <row r="85" spans="2:10" ht="15.75">
      <c r="B85" s="265" t="s">
        <v>115</v>
      </c>
      <c r="C85" s="709"/>
      <c r="D85" s="45"/>
      <c r="E85" s="45"/>
      <c r="G85" s="748" t="str">
        <f>CONCATENATE("Total ",E1," tax levy amount")</f>
        <v>Total 0 tax levy amount</v>
      </c>
      <c r="H85" s="749"/>
      <c r="I85" s="749"/>
      <c r="J85" s="750">
        <f>summ!G52</f>
        <v>0</v>
      </c>
    </row>
    <row r="92" spans="3:4" ht="15.75" hidden="1">
      <c r="C92" s="31">
        <f>IF(C35&gt;C37,"See Tab A","")</f>
      </c>
      <c r="D92" s="31">
        <f>IF(D35&gt;D37,"See Tab C","")</f>
      </c>
    </row>
    <row r="93" spans="3:4" ht="15.75" hidden="1">
      <c r="C93" s="31">
        <f>IF(C36&lt;0,"See Tab B","")</f>
      </c>
      <c r="D93" s="31">
        <f>IF(D36&lt;0,"See Tab D","")</f>
      </c>
    </row>
    <row r="94" spans="3:4" ht="15.75" hidden="1">
      <c r="C94" s="31">
        <f>IF(C77&gt;C79,"See Tab A","")</f>
      </c>
      <c r="D94" s="31">
        <f>IF(D77&gt;D79,"See Tab C","")</f>
      </c>
    </row>
    <row r="95" spans="3:4" ht="15.75" hidden="1">
      <c r="C95" s="31">
        <f>IF(C78&lt;0,"See Tab B","")</f>
      </c>
      <c r="D95" s="31">
        <f>IF(D78&lt;0,"See Tab D","")</f>
      </c>
    </row>
  </sheetData>
  <sheetProtection sheet="1"/>
  <mergeCells count="12">
    <mergeCell ref="G17:J17"/>
    <mergeCell ref="G24:J24"/>
    <mergeCell ref="G34:J34"/>
    <mergeCell ref="G59:J59"/>
    <mergeCell ref="G66:J66"/>
    <mergeCell ref="G76:J76"/>
    <mergeCell ref="C38:D38"/>
    <mergeCell ref="C39:D39"/>
    <mergeCell ref="C80:D80"/>
    <mergeCell ref="C81:D81"/>
    <mergeCell ref="C84:D84"/>
    <mergeCell ref="C42:D42"/>
  </mergeCells>
  <conditionalFormatting sqref="E80">
    <cfRule type="cellIs" priority="4" dxfId="351" operator="greaterThan" stopIfTrue="1">
      <formula>$E$77/0.95-$E$77</formula>
    </cfRule>
  </conditionalFormatting>
  <conditionalFormatting sqref="E75">
    <cfRule type="cellIs" priority="5" dxfId="351" operator="greaterThan" stopIfTrue="1">
      <formula>$E$77*0.1</formula>
    </cfRule>
  </conditionalFormatting>
  <conditionalFormatting sqref="E38">
    <cfRule type="cellIs" priority="6" dxfId="351" operator="greaterThan" stopIfTrue="1">
      <formula>$E$35/0.95-$E$35</formula>
    </cfRule>
  </conditionalFormatting>
  <conditionalFormatting sqref="E33">
    <cfRule type="cellIs" priority="7" dxfId="351" operator="greaterThan" stopIfTrue="1">
      <formula>$E$35*0.1</formula>
    </cfRule>
  </conditionalFormatting>
  <conditionalFormatting sqref="E21">
    <cfRule type="cellIs" priority="8" dxfId="351" operator="greaterThan" stopIfTrue="1">
      <formula>$E$23*0.1+E42</formula>
    </cfRule>
  </conditionalFormatting>
  <conditionalFormatting sqref="E63">
    <cfRule type="cellIs" priority="9" dxfId="351" operator="greaterThan" stopIfTrue="1">
      <formula>($E$65+E84)*0.1</formula>
    </cfRule>
  </conditionalFormatting>
  <conditionalFormatting sqref="C75">
    <cfRule type="cellIs" priority="10" dxfId="2" operator="greaterThan" stopIfTrue="1">
      <formula>$C$77*0.1</formula>
    </cfRule>
  </conditionalFormatting>
  <conditionalFormatting sqref="D75">
    <cfRule type="cellIs" priority="11" dxfId="2" operator="greaterThan" stopIfTrue="1">
      <formula>$D$77*0.1</formula>
    </cfRule>
  </conditionalFormatting>
  <conditionalFormatting sqref="D63">
    <cfRule type="cellIs" priority="12" dxfId="2" operator="greaterThan" stopIfTrue="1">
      <formula>$D$65*0.1</formula>
    </cfRule>
  </conditionalFormatting>
  <conditionalFormatting sqref="C63">
    <cfRule type="cellIs" priority="13" dxfId="2" operator="greaterThan" stopIfTrue="1">
      <formula>$C$65*0.1</formula>
    </cfRule>
  </conditionalFormatting>
  <conditionalFormatting sqref="C33">
    <cfRule type="cellIs" priority="14" dxfId="2" operator="greaterThan" stopIfTrue="1">
      <formula>$C$35*0.1</formula>
    </cfRule>
  </conditionalFormatting>
  <conditionalFormatting sqref="D33">
    <cfRule type="cellIs" priority="15" dxfId="2" operator="greaterThan" stopIfTrue="1">
      <formula>$D$35*0.1</formula>
    </cfRule>
  </conditionalFormatting>
  <conditionalFormatting sqref="D35">
    <cfRule type="cellIs" priority="16" dxfId="2" operator="greaterThan" stopIfTrue="1">
      <formula>$D$37</formula>
    </cfRule>
  </conditionalFormatting>
  <conditionalFormatting sqref="C78 C36">
    <cfRule type="cellIs" priority="18" dxfId="2" operator="lessThan" stopIfTrue="1">
      <formula>0</formula>
    </cfRule>
  </conditionalFormatting>
  <conditionalFormatting sqref="C21">
    <cfRule type="cellIs" priority="19" dxfId="351" operator="greaterThan" stopIfTrue="1">
      <formula>$C$24*0.1</formula>
    </cfRule>
  </conditionalFormatting>
  <conditionalFormatting sqref="D21">
    <cfRule type="cellIs" priority="20" dxfId="351" operator="greaterThan" stopIfTrue="1">
      <formula>$D$23*0.1</formula>
    </cfRule>
  </conditionalFormatting>
  <conditionalFormatting sqref="C77">
    <cfRule type="cellIs" priority="21" dxfId="2" operator="greaterThan" stopIfTrue="1">
      <formula>$C$79</formula>
    </cfRule>
  </conditionalFormatting>
  <conditionalFormatting sqref="D77">
    <cfRule type="cellIs" priority="22" dxfId="2" operator="greaterThan" stopIfTrue="1">
      <formula>$D$79</formula>
    </cfRule>
  </conditionalFormatting>
  <conditionalFormatting sqref="D36">
    <cfRule type="cellIs" priority="3" dxfId="0" operator="lessThan" stopIfTrue="1">
      <formula>0</formula>
    </cfRule>
  </conditionalFormatting>
  <conditionalFormatting sqref="D78">
    <cfRule type="cellIs" priority="1" dxfId="0" operator="lessThan" stopIfTrue="1">
      <formula>0</formula>
    </cfRule>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48" r:id="rId1"/>
  <headerFooter alignWithMargins="0">
    <oddHeader>&amp;RState of Kansas
County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Q136" sqref="Q136"/>
    </sheetView>
  </sheetViews>
  <sheetFormatPr defaultColWidth="8.796875" defaultRowHeight="15"/>
  <cols>
    <col min="1" max="1" width="2.3984375" style="31" customWidth="1"/>
    <col min="2" max="2" width="31.09765625" style="31" customWidth="1"/>
    <col min="3" max="4" width="15.796875" style="31" customWidth="1"/>
    <col min="5" max="5" width="16.3984375" style="31" customWidth="1"/>
    <col min="6" max="6" width="8.8984375" style="31" customWidth="1"/>
    <col min="7" max="7" width="10.19921875" style="31" customWidth="1"/>
    <col min="8" max="8" width="8.8984375" style="31" customWidth="1"/>
    <col min="9" max="9" width="5.69921875" style="31" customWidth="1"/>
    <col min="10" max="10" width="10" style="31" customWidth="1"/>
    <col min="11" max="16384" width="8.8984375" style="31" customWidth="1"/>
  </cols>
  <sheetData>
    <row r="1" spans="2:5" ht="15.75">
      <c r="B1" s="160">
        <f>(inputPrYr!C3)</f>
        <v>0</v>
      </c>
      <c r="C1" s="45"/>
      <c r="D1" s="45"/>
      <c r="E1" s="230">
        <f>inputPrYr!C5</f>
        <v>0</v>
      </c>
    </row>
    <row r="2" spans="2:5" ht="15.75">
      <c r="B2" s="169"/>
      <c r="C2" s="266"/>
      <c r="D2" s="266"/>
      <c r="E2" s="267"/>
    </row>
    <row r="3" spans="2:5" ht="15.75">
      <c r="B3" s="414" t="s">
        <v>162</v>
      </c>
      <c r="C3" s="110"/>
      <c r="D3" s="110"/>
      <c r="E3" s="110"/>
    </row>
    <row r="4" spans="2:5" ht="15.75">
      <c r="B4" s="44" t="s">
        <v>49</v>
      </c>
      <c r="C4" s="563" t="s">
        <v>811</v>
      </c>
      <c r="D4" s="564" t="s">
        <v>812</v>
      </c>
      <c r="E4" s="114" t="s">
        <v>813</v>
      </c>
    </row>
    <row r="5" spans="2:5" ht="15.75">
      <c r="B5" s="405">
        <f>inputPrYr!$B$22</f>
        <v>0</v>
      </c>
      <c r="C5" s="386" t="str">
        <f>CONCATENATE("Actual for ",E1-2,"")</f>
        <v>Actual for -2</v>
      </c>
      <c r="D5" s="386" t="str">
        <f>CONCATENATE("Estimate for ",E1-1,"")</f>
        <v>Estimate for -1</v>
      </c>
      <c r="E5" s="244" t="str">
        <f>CONCATENATE("Year for ",E1,"")</f>
        <v>Year for 0</v>
      </c>
    </row>
    <row r="6" spans="2:5" ht="15.75">
      <c r="B6" s="118" t="s">
        <v>194</v>
      </c>
      <c r="C6" s="411"/>
      <c r="D6" s="385">
        <f>C36</f>
        <v>0</v>
      </c>
      <c r="E6" s="209">
        <f>D36</f>
        <v>0</v>
      </c>
    </row>
    <row r="7" spans="2:5" ht="15.75">
      <c r="B7" s="234" t="s">
        <v>196</v>
      </c>
      <c r="C7" s="132"/>
      <c r="D7" s="132"/>
      <c r="E7" s="81"/>
    </row>
    <row r="8" spans="2:5" ht="15.75">
      <c r="B8" s="118" t="s">
        <v>50</v>
      </c>
      <c r="C8" s="411"/>
      <c r="D8" s="385">
        <f>IF(inputPrYr!H21&gt;0,inputPrYr!H21,inputPrYr!E22)</f>
        <v>0</v>
      </c>
      <c r="E8" s="270" t="s">
        <v>35</v>
      </c>
    </row>
    <row r="9" spans="2:5" ht="15.75">
      <c r="B9" s="118" t="s">
        <v>51</v>
      </c>
      <c r="C9" s="411"/>
      <c r="D9" s="411"/>
      <c r="E9" s="66"/>
    </row>
    <row r="10" spans="2:5" ht="15.75">
      <c r="B10" s="118" t="s">
        <v>52</v>
      </c>
      <c r="C10" s="411"/>
      <c r="D10" s="411"/>
      <c r="E10" s="209" t="str">
        <f>mvalloc!E15</f>
        <v>  </v>
      </c>
    </row>
    <row r="11" spans="2:5" ht="15.75">
      <c r="B11" s="118" t="s">
        <v>53</v>
      </c>
      <c r="C11" s="411"/>
      <c r="D11" s="411"/>
      <c r="E11" s="209" t="str">
        <f>mvalloc!F15</f>
        <v>  </v>
      </c>
    </row>
    <row r="12" spans="2:5" ht="15.75">
      <c r="B12" s="132" t="s">
        <v>154</v>
      </c>
      <c r="C12" s="411"/>
      <c r="D12" s="411"/>
      <c r="E12" s="209" t="str">
        <f>mvalloc!G15</f>
        <v>  </v>
      </c>
    </row>
    <row r="13" spans="2:5" ht="15.75">
      <c r="B13" s="273" t="s">
        <v>955</v>
      </c>
      <c r="C13" s="411"/>
      <c r="D13" s="411"/>
      <c r="E13" s="209" t="str">
        <f>mvalloc!H15</f>
        <v> </v>
      </c>
    </row>
    <row r="14" spans="2:5" ht="15.75">
      <c r="B14" s="273" t="s">
        <v>956</v>
      </c>
      <c r="C14" s="411"/>
      <c r="D14" s="411"/>
      <c r="E14" s="209" t="str">
        <f>mvalloc!I15</f>
        <v> </v>
      </c>
    </row>
    <row r="15" spans="2:5" ht="15.75">
      <c r="B15" s="261"/>
      <c r="C15" s="411"/>
      <c r="D15" s="411"/>
      <c r="E15" s="66"/>
    </row>
    <row r="16" spans="2:5" ht="15.75">
      <c r="B16" s="261"/>
      <c r="C16" s="411"/>
      <c r="D16" s="411"/>
      <c r="E16" s="66"/>
    </row>
    <row r="17" spans="2:10" ht="15.75">
      <c r="B17" s="261"/>
      <c r="C17" s="411"/>
      <c r="D17" s="411"/>
      <c r="E17" s="66"/>
      <c r="G17" s="863" t="str">
        <f>CONCATENATE("Desired Carryover Into ",E1+1,"")</f>
        <v>Desired Carryover Into 1</v>
      </c>
      <c r="H17" s="864"/>
      <c r="I17" s="864"/>
      <c r="J17" s="833"/>
    </row>
    <row r="18" spans="2:10" ht="15.75">
      <c r="B18" s="261"/>
      <c r="C18" s="411"/>
      <c r="D18" s="411"/>
      <c r="E18" s="66"/>
      <c r="G18" s="567"/>
      <c r="H18" s="568"/>
      <c r="I18" s="569"/>
      <c r="J18" s="570"/>
    </row>
    <row r="19" spans="2:10" ht="15.75">
      <c r="B19" s="249" t="s">
        <v>57</v>
      </c>
      <c r="C19" s="411"/>
      <c r="D19" s="411"/>
      <c r="E19" s="66"/>
      <c r="G19" s="571" t="s">
        <v>683</v>
      </c>
      <c r="H19" s="569"/>
      <c r="I19" s="569"/>
      <c r="J19" s="572"/>
    </row>
    <row r="20" spans="2:10" ht="15.75">
      <c r="B20" s="250" t="s">
        <v>297</v>
      </c>
      <c r="C20" s="411"/>
      <c r="D20" s="411"/>
      <c r="E20" s="280">
        <f>Nhood!E11*-1</f>
        <v>0</v>
      </c>
      <c r="G20" s="567" t="s">
        <v>684</v>
      </c>
      <c r="H20" s="568"/>
      <c r="I20" s="568"/>
      <c r="J20" s="573">
        <f>IF(J19=0,"",ROUND((J19+E42-G32)/inputOth!E5*1000,3)-G37)</f>
      </c>
    </row>
    <row r="21" spans="2:10" ht="15.75">
      <c r="B21" s="250" t="s">
        <v>298</v>
      </c>
      <c r="C21" s="411"/>
      <c r="D21" s="411"/>
      <c r="E21" s="66"/>
      <c r="G21" s="574" t="str">
        <f>CONCATENATE("",E1," Tot Exp/Non-Appr Must Be:")</f>
        <v>0 Tot Exp/Non-Appr Must Be:</v>
      </c>
      <c r="H21" s="575"/>
      <c r="I21" s="576"/>
      <c r="J21" s="577">
        <f>IF(J19&gt;0,IF(E39&lt;E24,IF(J19=G32,E39,((J19-G32)*(1-D41))+E24),E39+(J19-G32)),0)</f>
        <v>0</v>
      </c>
    </row>
    <row r="22" spans="2:10" ht="15.75">
      <c r="B22" s="250" t="s">
        <v>673</v>
      </c>
      <c r="C22" s="384">
        <f>IF(C23*0.1&lt;C21,"Exceed 10% Rule","")</f>
      </c>
      <c r="D22" s="384">
        <f>IF(D23*0.1&lt;D21,"Exceed 10% Rule","")</f>
      </c>
      <c r="E22" s="277">
        <f>IF(E23*0.1+E42&lt;E21,"Exceed 10% Rule","")</f>
      </c>
      <c r="G22" s="578" t="s">
        <v>814</v>
      </c>
      <c r="H22" s="579"/>
      <c r="I22" s="579"/>
      <c r="J22" s="580">
        <f>IF(J19&gt;0,J21-E39,0)</f>
        <v>0</v>
      </c>
    </row>
    <row r="23" spans="2:10" ht="15.75">
      <c r="B23" s="252" t="s">
        <v>58</v>
      </c>
      <c r="C23" s="388">
        <f>SUM(C8:C21)</f>
        <v>0</v>
      </c>
      <c r="D23" s="388">
        <f>SUM(D8:D21)</f>
        <v>0</v>
      </c>
      <c r="E23" s="296">
        <f>SUM(E8:E21)</f>
        <v>0</v>
      </c>
      <c r="G23" s="581"/>
      <c r="H23" s="581"/>
      <c r="I23" s="581"/>
      <c r="J23" s="581"/>
    </row>
    <row r="24" spans="2:10" ht="15.75">
      <c r="B24" s="252" t="s">
        <v>59</v>
      </c>
      <c r="C24" s="388">
        <f>C6+C23</f>
        <v>0</v>
      </c>
      <c r="D24" s="388">
        <f>D6+D23</f>
        <v>0</v>
      </c>
      <c r="E24" s="296">
        <f>E6+E23</f>
        <v>0</v>
      </c>
      <c r="G24" s="863" t="str">
        <f>CONCATENATE("Projected Carryover Into ",E1+1,"")</f>
        <v>Projected Carryover Into 1</v>
      </c>
      <c r="H24" s="867"/>
      <c r="I24" s="867"/>
      <c r="J24" s="868"/>
    </row>
    <row r="25" spans="2:10" ht="15.75">
      <c r="B25" s="118" t="s">
        <v>62</v>
      </c>
      <c r="C25" s="250"/>
      <c r="D25" s="250"/>
      <c r="E25" s="128"/>
      <c r="G25" s="567"/>
      <c r="H25" s="569"/>
      <c r="I25" s="569"/>
      <c r="J25" s="582"/>
    </row>
    <row r="26" spans="2:10" ht="15.75">
      <c r="B26" s="261"/>
      <c r="C26" s="411"/>
      <c r="D26" s="411"/>
      <c r="E26" s="66"/>
      <c r="G26" s="583">
        <f>D36</f>
        <v>0</v>
      </c>
      <c r="H26" s="584" t="str">
        <f>CONCATENATE("",E1-1," Ending Cash Balance (est.)")</f>
        <v>-1 Ending Cash Balance (est.)</v>
      </c>
      <c r="I26" s="585"/>
      <c r="J26" s="582"/>
    </row>
    <row r="27" spans="2:10" ht="15.75">
      <c r="B27" s="261"/>
      <c r="C27" s="411"/>
      <c r="D27" s="411"/>
      <c r="E27" s="66"/>
      <c r="G27" s="583">
        <f>E23</f>
        <v>0</v>
      </c>
      <c r="H27" s="569" t="str">
        <f>CONCATENATE("",E1," Non-AV Receipts (est.)")</f>
        <v>0 Non-AV Receipts (est.)</v>
      </c>
      <c r="I27" s="585"/>
      <c r="J27" s="582"/>
    </row>
    <row r="28" spans="2:11" ht="15.75">
      <c r="B28" s="261"/>
      <c r="C28" s="411"/>
      <c r="D28" s="411"/>
      <c r="E28" s="66"/>
      <c r="G28" s="586">
        <f>IF(E41&gt;0,E40,E42)</f>
        <v>0</v>
      </c>
      <c r="H28" s="569" t="str">
        <f>CONCATENATE("",E1," Ad Valorem Tax (est.)")</f>
        <v>0 Ad Valorem Tax (est.)</v>
      </c>
      <c r="I28" s="585"/>
      <c r="J28" s="582"/>
      <c r="K28" s="622">
        <f>IF(G28=E42,"","Note: Does not include Delinquent Taxes")</f>
      </c>
    </row>
    <row r="29" spans="2:10" ht="15.75">
      <c r="B29" s="261"/>
      <c r="C29" s="411"/>
      <c r="D29" s="411"/>
      <c r="E29" s="66"/>
      <c r="G29" s="583">
        <f>SUM(G26:G28)</f>
        <v>0</v>
      </c>
      <c r="H29" s="569" t="str">
        <f>CONCATENATE("Total ",E1," Resources Available")</f>
        <v>Total 0 Resources Available</v>
      </c>
      <c r="I29" s="585"/>
      <c r="J29" s="582"/>
    </row>
    <row r="30" spans="2:10" ht="15.75">
      <c r="B30" s="261"/>
      <c r="C30" s="411"/>
      <c r="D30" s="411"/>
      <c r="E30" s="66"/>
      <c r="G30" s="587"/>
      <c r="H30" s="569"/>
      <c r="I30" s="569"/>
      <c r="J30" s="582"/>
    </row>
    <row r="31" spans="2:10" ht="15.75">
      <c r="B31" s="261"/>
      <c r="C31" s="411"/>
      <c r="D31" s="411"/>
      <c r="E31" s="66"/>
      <c r="G31" s="586">
        <f>ROUND(C35*0.05+C35,0)</f>
        <v>0</v>
      </c>
      <c r="H31" s="569" t="str">
        <f>CONCATENATE("Less ",E1-2," Expenditures + 5%")</f>
        <v>Less -2 Expenditures + 5%</v>
      </c>
      <c r="I31" s="585"/>
      <c r="J31" s="602"/>
    </row>
    <row r="32" spans="2:10" ht="15.75">
      <c r="B32" s="250" t="str">
        <f>CONCATENATE("Cash Forward (",E1," column)")</f>
        <v>Cash Forward (0 column)</v>
      </c>
      <c r="C32" s="411"/>
      <c r="D32" s="411"/>
      <c r="E32" s="66"/>
      <c r="G32" s="588">
        <f>G29-G31</f>
        <v>0</v>
      </c>
      <c r="H32" s="589" t="str">
        <f>CONCATENATE("Projected ",E1+1," carryover (est.)")</f>
        <v>Projected 1 carryover (est.)</v>
      </c>
      <c r="I32" s="590"/>
      <c r="J32" s="591"/>
    </row>
    <row r="33" spans="2:10" ht="15.75">
      <c r="B33" s="250" t="s">
        <v>298</v>
      </c>
      <c r="C33" s="411"/>
      <c r="D33" s="411"/>
      <c r="E33" s="66"/>
      <c r="G33" s="581"/>
      <c r="H33" s="581"/>
      <c r="I33" s="581"/>
      <c r="J33" s="581"/>
    </row>
    <row r="34" spans="2:10" ht="15.75">
      <c r="B34" s="250" t="s">
        <v>299</v>
      </c>
      <c r="C34" s="384">
        <f>IF(C35*0.1&lt;C33,"Exceed 10% Rule","")</f>
      </c>
      <c r="D34" s="384">
        <f>IF(D35*0.1&lt;D33,"Exceed 10% Rule","")</f>
      </c>
      <c r="E34" s="277">
        <f>IF(E35*0.1&lt;E33,"Exceed 10% Rule","")</f>
      </c>
      <c r="G34" s="860" t="s">
        <v>815</v>
      </c>
      <c r="H34" s="861"/>
      <c r="I34" s="861"/>
      <c r="J34" s="862"/>
    </row>
    <row r="35" spans="2:10" ht="15.75">
      <c r="B35" s="252" t="s">
        <v>63</v>
      </c>
      <c r="C35" s="388">
        <f>SUM(C26:C33)</f>
        <v>0</v>
      </c>
      <c r="D35" s="388">
        <f>SUM(D26:D33)</f>
        <v>0</v>
      </c>
      <c r="E35" s="296">
        <f>SUM(E26:E33)</f>
        <v>0</v>
      </c>
      <c r="G35" s="592"/>
      <c r="H35" s="584"/>
      <c r="I35" s="593"/>
      <c r="J35" s="594"/>
    </row>
    <row r="36" spans="2:10" ht="15.75">
      <c r="B36" s="118" t="s">
        <v>195</v>
      </c>
      <c r="C36" s="383">
        <f>C24-C35</f>
        <v>0</v>
      </c>
      <c r="D36" s="383">
        <f>D24-D35</f>
        <v>0</v>
      </c>
      <c r="E36" s="270" t="s">
        <v>35</v>
      </c>
      <c r="G36" s="595" t="str">
        <f>summ!H21</f>
        <v>  </v>
      </c>
      <c r="H36" s="584" t="str">
        <f>CONCATENATE("",E1," Fund Mill Rate")</f>
        <v>0 Fund Mill Rate</v>
      </c>
      <c r="I36" s="593"/>
      <c r="J36" s="594"/>
    </row>
    <row r="37" spans="2:10" ht="15.75">
      <c r="B37" s="146" t="str">
        <f>CONCATENATE("",E1-2,"/",E1-1,"/",E1," Budget Authority Amount:")</f>
        <v>-2/-1/0 Budget Authority Amount:</v>
      </c>
      <c r="C37" s="272">
        <f>inputOth!B36</f>
        <v>0</v>
      </c>
      <c r="D37" s="272">
        <f>inputPrYr!D22</f>
        <v>0</v>
      </c>
      <c r="E37" s="209">
        <f>E35</f>
        <v>0</v>
      </c>
      <c r="F37" s="263"/>
      <c r="G37" s="596" t="str">
        <f>summ!E21</f>
        <v>  </v>
      </c>
      <c r="H37" s="584" t="str">
        <f>CONCATENATE("",E1-1," Fund Mill Rate")</f>
        <v>-1 Fund Mill Rate</v>
      </c>
      <c r="I37" s="593"/>
      <c r="J37" s="594"/>
    </row>
    <row r="38" spans="2:10" ht="15.75">
      <c r="B38" s="231"/>
      <c r="C38" s="856" t="s">
        <v>675</v>
      </c>
      <c r="D38" s="857"/>
      <c r="E38" s="65"/>
      <c r="F38" s="423">
        <f>IF(E35/0.95-E35&lt;E38,"Exceeds 5%","")</f>
      </c>
      <c r="G38" s="597">
        <f>summ!H52</f>
        <v>0</v>
      </c>
      <c r="H38" s="584" t="str">
        <f>CONCATENATE("Total ",E1," Mill Rate")</f>
        <v>Total 0 Mill Rate</v>
      </c>
      <c r="I38" s="593"/>
      <c r="J38" s="594"/>
    </row>
    <row r="39" spans="2:10" ht="15.75">
      <c r="B39" s="417" t="str">
        <f>CONCATENATE(C92,"     ",D92)</f>
        <v>     </v>
      </c>
      <c r="C39" s="858" t="s">
        <v>676</v>
      </c>
      <c r="D39" s="859"/>
      <c r="E39" s="209">
        <f>E35+E38</f>
        <v>0</v>
      </c>
      <c r="G39" s="596">
        <f>summ!E52</f>
        <v>0</v>
      </c>
      <c r="H39" s="598" t="str">
        <f>CONCATENATE("Total ",E1-1," Mill Rate")</f>
        <v>Total -1 Mill Rate</v>
      </c>
      <c r="I39" s="599"/>
      <c r="J39" s="600"/>
    </row>
    <row r="40" spans="2:10" ht="15.75">
      <c r="B40" s="417" t="str">
        <f>CONCATENATE(C93,"      ",D93)</f>
        <v>      </v>
      </c>
      <c r="C40" s="264"/>
      <c r="D40" s="79" t="s">
        <v>64</v>
      </c>
      <c r="E40" s="70">
        <f>IF(E39-E24&gt;0,E39-E24,0)</f>
        <v>0</v>
      </c>
      <c r="G40" s="581"/>
      <c r="H40" s="581"/>
      <c r="I40" s="581"/>
      <c r="J40" s="581"/>
    </row>
    <row r="41" spans="2:10" ht="15.75">
      <c r="B41" s="79"/>
      <c r="C41" s="402" t="s">
        <v>677</v>
      </c>
      <c r="D41" s="624">
        <f>inputOth!$E$24</f>
        <v>0</v>
      </c>
      <c r="E41" s="209">
        <f>ROUND(IF(D41&gt;0,(E40*D41),0),0)</f>
        <v>0</v>
      </c>
      <c r="G41" s="741" t="s">
        <v>964</v>
      </c>
      <c r="H41" s="742"/>
      <c r="I41" s="744"/>
      <c r="J41" s="743" t="str">
        <f>cert!F62</f>
        <v>No</v>
      </c>
    </row>
    <row r="42" spans="2:10" ht="15.75">
      <c r="B42" s="45"/>
      <c r="C42" s="854" t="str">
        <f>CONCATENATE("Amount of  ",$E$1-1," Ad Valorem Tax")</f>
        <v>Amount of  -1 Ad Valorem Tax</v>
      </c>
      <c r="D42" s="855"/>
      <c r="E42" s="282">
        <f>E40+E41</f>
        <v>0</v>
      </c>
      <c r="G42" s="758" t="str">
        <f>CONCATENATE("Computed ",E1," tax levy limit amount")</f>
        <v>Computed 0 tax levy limit amount</v>
      </c>
      <c r="H42" s="759"/>
      <c r="I42" s="759"/>
      <c r="J42" s="760">
        <f>computation!J42</f>
        <v>0</v>
      </c>
    </row>
    <row r="43" spans="2:10" ht="15.75">
      <c r="B43" s="45"/>
      <c r="C43" s="547"/>
      <c r="D43" s="45"/>
      <c r="E43" s="45"/>
      <c r="G43" s="761" t="str">
        <f>CONCATENATE("Total ",E1," tax levy amount")</f>
        <v>Total 0 tax levy amount</v>
      </c>
      <c r="H43" s="762"/>
      <c r="I43" s="762"/>
      <c r="J43" s="763">
        <f>summ!G52</f>
        <v>0</v>
      </c>
    </row>
    <row r="44" spans="2:10" ht="15.75">
      <c r="B44" s="45"/>
      <c r="C44" s="547"/>
      <c r="D44" s="45"/>
      <c r="E44" s="45"/>
      <c r="G44" s="581"/>
      <c r="H44" s="581"/>
      <c r="I44" s="581"/>
      <c r="J44" s="581"/>
    </row>
    <row r="45" spans="2:10" ht="15.75">
      <c r="B45" s="44"/>
      <c r="C45" s="110"/>
      <c r="D45" s="110"/>
      <c r="E45" s="110"/>
      <c r="G45" s="581"/>
      <c r="H45" s="581"/>
      <c r="I45" s="581"/>
      <c r="J45" s="581"/>
    </row>
    <row r="46" spans="2:10" ht="15.75">
      <c r="B46" s="44" t="s">
        <v>49</v>
      </c>
      <c r="C46" s="563" t="str">
        <f aca="true" t="shared" si="0" ref="C46:E47">C4</f>
        <v>Prior Year </v>
      </c>
      <c r="D46" s="564" t="str">
        <f t="shared" si="0"/>
        <v>Current Year </v>
      </c>
      <c r="E46" s="114" t="str">
        <f t="shared" si="0"/>
        <v>Proposed Budget </v>
      </c>
      <c r="G46" s="581"/>
      <c r="H46" s="581"/>
      <c r="I46" s="581"/>
      <c r="J46" s="581"/>
    </row>
    <row r="47" spans="2:10" ht="15.75">
      <c r="B47" s="405">
        <f>inputPrYr!$B$23</f>
        <v>0</v>
      </c>
      <c r="C47" s="386" t="str">
        <f t="shared" si="0"/>
        <v>Actual for -2</v>
      </c>
      <c r="D47" s="386" t="str">
        <f t="shared" si="0"/>
        <v>Estimate for -1</v>
      </c>
      <c r="E47" s="256" t="str">
        <f t="shared" si="0"/>
        <v>Year for 0</v>
      </c>
      <c r="G47" s="581"/>
      <c r="H47" s="581"/>
      <c r="I47" s="581"/>
      <c r="J47" s="581"/>
    </row>
    <row r="48" spans="2:10" ht="15.75">
      <c r="B48" s="118" t="s">
        <v>194</v>
      </c>
      <c r="C48" s="411"/>
      <c r="D48" s="385">
        <f>C78</f>
        <v>0</v>
      </c>
      <c r="E48" s="209">
        <f>D78</f>
        <v>0</v>
      </c>
      <c r="G48" s="581"/>
      <c r="H48" s="581"/>
      <c r="I48" s="581"/>
      <c r="J48" s="581"/>
    </row>
    <row r="49" spans="2:10" ht="15.75">
      <c r="B49" s="245" t="s">
        <v>196</v>
      </c>
      <c r="C49" s="132"/>
      <c r="D49" s="132"/>
      <c r="E49" s="81"/>
      <c r="G49" s="581"/>
      <c r="H49" s="581"/>
      <c r="I49" s="581"/>
      <c r="J49" s="581"/>
    </row>
    <row r="50" spans="2:10" ht="15.75">
      <c r="B50" s="118" t="s">
        <v>50</v>
      </c>
      <c r="C50" s="411"/>
      <c r="D50" s="385">
        <f>IF(inputPrYr!H22&gt;0,inputPrYr!H22,inputPrYr!E23)</f>
        <v>0</v>
      </c>
      <c r="E50" s="270" t="s">
        <v>35</v>
      </c>
      <c r="G50" s="581"/>
      <c r="H50" s="581"/>
      <c r="I50" s="581"/>
      <c r="J50" s="581"/>
    </row>
    <row r="51" spans="2:10" ht="15.75">
      <c r="B51" s="118" t="s">
        <v>51</v>
      </c>
      <c r="C51" s="411"/>
      <c r="D51" s="411"/>
      <c r="E51" s="66"/>
      <c r="G51" s="581"/>
      <c r="H51" s="581"/>
      <c r="I51" s="581"/>
      <c r="J51" s="581"/>
    </row>
    <row r="52" spans="2:10" ht="15.75">
      <c r="B52" s="118" t="s">
        <v>52</v>
      </c>
      <c r="C52" s="411"/>
      <c r="D52" s="411"/>
      <c r="E52" s="209" t="str">
        <f>mvalloc!E16</f>
        <v>  </v>
      </c>
      <c r="G52" s="581"/>
      <c r="H52" s="581"/>
      <c r="I52" s="581"/>
      <c r="J52" s="581"/>
    </row>
    <row r="53" spans="2:10" ht="15.75">
      <c r="B53" s="118" t="s">
        <v>53</v>
      </c>
      <c r="C53" s="411"/>
      <c r="D53" s="411"/>
      <c r="E53" s="209" t="str">
        <f>mvalloc!F16</f>
        <v>  </v>
      </c>
      <c r="G53" s="581"/>
      <c r="H53" s="581"/>
      <c r="I53" s="581"/>
      <c r="J53" s="581"/>
    </row>
    <row r="54" spans="2:10" ht="15.75">
      <c r="B54" s="132" t="s">
        <v>154</v>
      </c>
      <c r="C54" s="411"/>
      <c r="D54" s="411"/>
      <c r="E54" s="209" t="str">
        <f>mvalloc!G16</f>
        <v>  </v>
      </c>
      <c r="G54" s="581"/>
      <c r="H54" s="581"/>
      <c r="I54" s="581"/>
      <c r="J54" s="581"/>
    </row>
    <row r="55" spans="2:10" ht="15.75">
      <c r="B55" s="273" t="s">
        <v>955</v>
      </c>
      <c r="C55" s="411"/>
      <c r="D55" s="411"/>
      <c r="E55" s="209" t="str">
        <f>mvalloc!H16</f>
        <v> </v>
      </c>
      <c r="G55" s="581"/>
      <c r="H55" s="581"/>
      <c r="I55" s="581"/>
      <c r="J55" s="581"/>
    </row>
    <row r="56" spans="2:10" ht="15.75">
      <c r="B56" s="273" t="s">
        <v>956</v>
      </c>
      <c r="C56" s="411"/>
      <c r="D56" s="411"/>
      <c r="E56" s="209" t="str">
        <f>mvalloc!I16</f>
        <v> </v>
      </c>
      <c r="G56" s="581"/>
      <c r="H56" s="581"/>
      <c r="I56" s="581"/>
      <c r="J56" s="581"/>
    </row>
    <row r="57" spans="2:10" ht="15.75">
      <c r="B57" s="261"/>
      <c r="C57" s="411"/>
      <c r="D57" s="411"/>
      <c r="E57" s="66"/>
      <c r="G57" s="581"/>
      <c r="H57" s="581"/>
      <c r="I57" s="581"/>
      <c r="J57" s="581"/>
    </row>
    <row r="58" spans="2:10" ht="15.75">
      <c r="B58" s="261"/>
      <c r="C58" s="411"/>
      <c r="D58" s="411"/>
      <c r="E58" s="66"/>
      <c r="G58" s="581"/>
      <c r="H58" s="581"/>
      <c r="I58" s="581"/>
      <c r="J58" s="581"/>
    </row>
    <row r="59" spans="2:10" ht="15.75">
      <c r="B59" s="261"/>
      <c r="C59" s="411"/>
      <c r="D59" s="411"/>
      <c r="E59" s="66"/>
      <c r="G59" s="863" t="str">
        <f>CONCATENATE("Desired Carryover Into ",E1+1,"")</f>
        <v>Desired Carryover Into 1</v>
      </c>
      <c r="H59" s="864"/>
      <c r="I59" s="864"/>
      <c r="J59" s="833"/>
    </row>
    <row r="60" spans="2:10" ht="15.75">
      <c r="B60" s="261"/>
      <c r="C60" s="411"/>
      <c r="D60" s="411"/>
      <c r="E60" s="66"/>
      <c r="G60" s="567"/>
      <c r="H60" s="568"/>
      <c r="I60" s="569"/>
      <c r="J60" s="570"/>
    </row>
    <row r="61" spans="2:10" ht="15.75">
      <c r="B61" s="249" t="s">
        <v>57</v>
      </c>
      <c r="C61" s="411"/>
      <c r="D61" s="411"/>
      <c r="E61" s="66"/>
      <c r="G61" s="571" t="s">
        <v>683</v>
      </c>
      <c r="H61" s="569"/>
      <c r="I61" s="569"/>
      <c r="J61" s="572"/>
    </row>
    <row r="62" spans="2:10" ht="15.75">
      <c r="B62" s="250" t="s">
        <v>297</v>
      </c>
      <c r="C62" s="411"/>
      <c r="D62" s="411"/>
      <c r="E62" s="280">
        <f>Nhood!E12*-1</f>
        <v>0</v>
      </c>
      <c r="G62" s="567" t="s">
        <v>684</v>
      </c>
      <c r="H62" s="568"/>
      <c r="I62" s="568"/>
      <c r="J62" s="573">
        <f>IF(J61=0,"",ROUND((J61+E84-G74)/inputOth!E5*1000,3)-G79)</f>
      </c>
    </row>
    <row r="63" spans="2:10" ht="15.75">
      <c r="B63" s="250" t="s">
        <v>298</v>
      </c>
      <c r="C63" s="411"/>
      <c r="D63" s="411"/>
      <c r="E63" s="66"/>
      <c r="G63" s="574" t="str">
        <f>CONCATENATE("",E1," Tot Exp/Non-Appr Must Be:")</f>
        <v>0 Tot Exp/Non-Appr Must Be:</v>
      </c>
      <c r="H63" s="575"/>
      <c r="I63" s="576"/>
      <c r="J63" s="577">
        <f>IF(J61&gt;0,IF(E81&lt;E66,IF(J61=G74,E81,((J61-G74)*(1-D83))+E66),E81+(J61-G74)),0)</f>
        <v>0</v>
      </c>
    </row>
    <row r="64" spans="2:10" ht="15.75">
      <c r="B64" s="250" t="s">
        <v>300</v>
      </c>
      <c r="C64" s="384">
        <f>IF(C65*0.1&lt;C63,"Exceed 10% Rule","")</f>
      </c>
      <c r="D64" s="384">
        <f>IF(D65*0.1&lt;D63,"Exceed 10% Rule","")</f>
      </c>
      <c r="E64" s="277">
        <f>IF(E65*0.1+E84&lt;E63,"Exceed 10% Rule","")</f>
      </c>
      <c r="G64" s="578" t="s">
        <v>814</v>
      </c>
      <c r="H64" s="579"/>
      <c r="I64" s="579"/>
      <c r="J64" s="580">
        <f>IF(J61&gt;0,J63-E81,0)</f>
        <v>0</v>
      </c>
    </row>
    <row r="65" spans="2:10" ht="15.75">
      <c r="B65" s="252" t="s">
        <v>58</v>
      </c>
      <c r="C65" s="388">
        <f>SUM(C50:C63)</f>
        <v>0</v>
      </c>
      <c r="D65" s="388">
        <f>SUM(D50:D63)</f>
        <v>0</v>
      </c>
      <c r="E65" s="296">
        <f>SUM(E51:E63)</f>
        <v>0</v>
      </c>
      <c r="G65" s="581"/>
      <c r="H65" s="581"/>
      <c r="I65" s="581"/>
      <c r="J65" s="581"/>
    </row>
    <row r="66" spans="2:10" ht="15.75">
      <c r="B66" s="252" t="s">
        <v>59</v>
      </c>
      <c r="C66" s="388">
        <f>C48+C65</f>
        <v>0</v>
      </c>
      <c r="D66" s="388">
        <f>D48+D65</f>
        <v>0</v>
      </c>
      <c r="E66" s="296">
        <f>E48+E65</f>
        <v>0</v>
      </c>
      <c r="G66" s="863" t="str">
        <f>CONCATENATE("Projected Carryover Into ",E1+1,"")</f>
        <v>Projected Carryover Into 1</v>
      </c>
      <c r="H66" s="869"/>
      <c r="I66" s="869"/>
      <c r="J66" s="868"/>
    </row>
    <row r="67" spans="2:10" ht="15.75">
      <c r="B67" s="118" t="s">
        <v>62</v>
      </c>
      <c r="C67" s="250"/>
      <c r="D67" s="250"/>
      <c r="E67" s="128"/>
      <c r="G67" s="601"/>
      <c r="H67" s="568"/>
      <c r="I67" s="568"/>
      <c r="J67" s="602"/>
    </row>
    <row r="68" spans="2:10" ht="15.75">
      <c r="B68" s="261"/>
      <c r="C68" s="411"/>
      <c r="D68" s="411"/>
      <c r="E68" s="66"/>
      <c r="G68" s="583">
        <f>D78</f>
        <v>0</v>
      </c>
      <c r="H68" s="584" t="str">
        <f>CONCATENATE("",E1-1," Ending Cash Balance (est.)")</f>
        <v>-1 Ending Cash Balance (est.)</v>
      </c>
      <c r="I68" s="585"/>
      <c r="J68" s="602"/>
    </row>
    <row r="69" spans="2:10" ht="15.75">
      <c r="B69" s="261"/>
      <c r="C69" s="411"/>
      <c r="D69" s="411"/>
      <c r="E69" s="66"/>
      <c r="G69" s="583">
        <f>E65</f>
        <v>0</v>
      </c>
      <c r="H69" s="569" t="str">
        <f>CONCATENATE("",E1," Non-AV Receipts (est.)")</f>
        <v>0 Non-AV Receipts (est.)</v>
      </c>
      <c r="I69" s="585"/>
      <c r="J69" s="602"/>
    </row>
    <row r="70" spans="2:11" ht="15.75">
      <c r="B70" s="261"/>
      <c r="C70" s="411"/>
      <c r="D70" s="411"/>
      <c r="E70" s="66"/>
      <c r="G70" s="586">
        <f>IF(E83&gt;0,E82,E84)</f>
        <v>0</v>
      </c>
      <c r="H70" s="569" t="str">
        <f>CONCATENATE("",E1," Ad Valorem Tax (est.)")</f>
        <v>0 Ad Valorem Tax (est.)</v>
      </c>
      <c r="I70" s="585"/>
      <c r="J70" s="602"/>
      <c r="K70" s="622">
        <f>IF(G70=E84,"","Note: Does not include Delinquent Taxes")</f>
      </c>
    </row>
    <row r="71" spans="2:10" ht="15.75">
      <c r="B71" s="261"/>
      <c r="C71" s="411"/>
      <c r="D71" s="411"/>
      <c r="E71" s="66"/>
      <c r="G71" s="603">
        <f>SUM(G68:G70)</f>
        <v>0</v>
      </c>
      <c r="H71" s="569" t="str">
        <f>CONCATENATE("Total ",E1," Resources Available")</f>
        <v>Total 0 Resources Available</v>
      </c>
      <c r="I71" s="604"/>
      <c r="J71" s="602"/>
    </row>
    <row r="72" spans="2:10" ht="15.75">
      <c r="B72" s="261"/>
      <c r="C72" s="411"/>
      <c r="D72" s="411"/>
      <c r="E72" s="66"/>
      <c r="G72" s="605"/>
      <c r="H72" s="606"/>
      <c r="I72" s="568"/>
      <c r="J72" s="602"/>
    </row>
    <row r="73" spans="2:10" ht="15.75">
      <c r="B73" s="261"/>
      <c r="C73" s="411"/>
      <c r="D73" s="411"/>
      <c r="E73" s="66"/>
      <c r="G73" s="607">
        <f>ROUND(C77*0.05+C77,0)</f>
        <v>0</v>
      </c>
      <c r="H73" s="569" t="str">
        <f>CONCATENATE("Less ",E1-2," Expenditures + 5%")</f>
        <v>Less -2 Expenditures + 5%</v>
      </c>
      <c r="I73" s="604"/>
      <c r="J73" s="602"/>
    </row>
    <row r="74" spans="2:10" ht="15.75">
      <c r="B74" s="250" t="str">
        <f>CONCATENATE("Cash Forward (",E1," column)")</f>
        <v>Cash Forward (0 column)</v>
      </c>
      <c r="C74" s="411"/>
      <c r="D74" s="411"/>
      <c r="E74" s="66"/>
      <c r="G74" s="608">
        <f>G71-G73</f>
        <v>0</v>
      </c>
      <c r="H74" s="589" t="str">
        <f>CONCATENATE("Projected ",E1+1," carryover (est.)")</f>
        <v>Projected 1 carryover (est.)</v>
      </c>
      <c r="I74" s="609"/>
      <c r="J74" s="610"/>
    </row>
    <row r="75" spans="2:10" ht="15.75">
      <c r="B75" s="250" t="s">
        <v>298</v>
      </c>
      <c r="C75" s="411"/>
      <c r="D75" s="411"/>
      <c r="E75" s="66"/>
      <c r="G75" s="581"/>
      <c r="H75" s="581"/>
      <c r="I75" s="581"/>
      <c r="J75" s="581"/>
    </row>
    <row r="76" spans="2:10" ht="15.75">
      <c r="B76" s="250" t="s">
        <v>299</v>
      </c>
      <c r="C76" s="384">
        <f>IF(C77*0.1&lt;C75,"Exceed 10% Rule","")</f>
      </c>
      <c r="D76" s="384">
        <f>IF(D77*0.1&lt;D75,"Exceed 10% Rule","")</f>
      </c>
      <c r="E76" s="277">
        <f>IF(E77*0.1&lt;E75,"Exceed 10% Rule","")</f>
      </c>
      <c r="G76" s="860" t="s">
        <v>815</v>
      </c>
      <c r="H76" s="861"/>
      <c r="I76" s="861"/>
      <c r="J76" s="862"/>
    </row>
    <row r="77" spans="2:10" ht="15.75">
      <c r="B77" s="252" t="s">
        <v>63</v>
      </c>
      <c r="C77" s="388">
        <f>SUM(C68:C75)</f>
        <v>0</v>
      </c>
      <c r="D77" s="388">
        <f>SUM(D68:D75)</f>
        <v>0</v>
      </c>
      <c r="E77" s="296">
        <f>SUM(E68:E75)</f>
        <v>0</v>
      </c>
      <c r="G77" s="592"/>
      <c r="H77" s="584"/>
      <c r="I77" s="593"/>
      <c r="J77" s="594"/>
    </row>
    <row r="78" spans="2:10" ht="15.75">
      <c r="B78" s="118" t="s">
        <v>195</v>
      </c>
      <c r="C78" s="383">
        <f>C66-C77</f>
        <v>0</v>
      </c>
      <c r="D78" s="383">
        <f>D66-D77</f>
        <v>0</v>
      </c>
      <c r="E78" s="270" t="s">
        <v>35</v>
      </c>
      <c r="G78" s="595" t="str">
        <f>summ!H22</f>
        <v>  </v>
      </c>
      <c r="H78" s="584" t="str">
        <f>CONCATENATE("",E1," Fund Mill Rate")</f>
        <v>0 Fund Mill Rate</v>
      </c>
      <c r="I78" s="593"/>
      <c r="J78" s="594"/>
    </row>
    <row r="79" spans="2:10" ht="15.75">
      <c r="B79" s="146" t="str">
        <f>CONCATENATE("",E1-2,"/",E1-1,"/",E1," Budget Authority Amount:")</f>
        <v>-2/-1/0 Budget Authority Amount:</v>
      </c>
      <c r="C79" s="272">
        <f>inputOth!B37</f>
        <v>0</v>
      </c>
      <c r="D79" s="272">
        <f>inputPrYr!D23</f>
        <v>0</v>
      </c>
      <c r="E79" s="209">
        <f>E77</f>
        <v>0</v>
      </c>
      <c r="F79" s="263"/>
      <c r="G79" s="596" t="str">
        <f>summ!E22</f>
        <v>  </v>
      </c>
      <c r="H79" s="584" t="str">
        <f>CONCATENATE("",E1-1," Fund Mill Rate")</f>
        <v>-1 Fund Mill Rate</v>
      </c>
      <c r="I79" s="593"/>
      <c r="J79" s="594"/>
    </row>
    <row r="80" spans="2:10" ht="15.75">
      <c r="B80" s="231"/>
      <c r="C80" s="856" t="s">
        <v>675</v>
      </c>
      <c r="D80" s="857"/>
      <c r="E80" s="66"/>
      <c r="F80" s="423">
        <f>IF(E77/0.95-E77&lt;E80,"Exceeds 5%","")</f>
      </c>
      <c r="G80" s="597">
        <f>summ!H52</f>
        <v>0</v>
      </c>
      <c r="H80" s="584" t="str">
        <f>CONCATENATE("Total ",E1," Mill Rate")</f>
        <v>Total 0 Mill Rate</v>
      </c>
      <c r="I80" s="593"/>
      <c r="J80" s="594"/>
    </row>
    <row r="81" spans="2:10" ht="15.75">
      <c r="B81" s="417" t="str">
        <f>CONCATENATE(C94,"      ",D94)</f>
        <v>      </v>
      </c>
      <c r="C81" s="858" t="s">
        <v>676</v>
      </c>
      <c r="D81" s="859"/>
      <c r="E81" s="209">
        <f>E77+E80</f>
        <v>0</v>
      </c>
      <c r="G81" s="596">
        <f>summ!E52</f>
        <v>0</v>
      </c>
      <c r="H81" s="598" t="str">
        <f>CONCATENATE("Total ",E1-1," Mill Rate")</f>
        <v>Total -1 Mill Rate</v>
      </c>
      <c r="I81" s="599"/>
      <c r="J81" s="600"/>
    </row>
    <row r="82" spans="2:5" ht="15.75">
      <c r="B82" s="417" t="str">
        <f>CONCATENATE(C95,"      ",D95)</f>
        <v>      </v>
      </c>
      <c r="C82" s="264"/>
      <c r="D82" s="79" t="s">
        <v>64</v>
      </c>
      <c r="E82" s="70">
        <f>IF(E81-E66&gt;0,E81-E66,0)</f>
        <v>0</v>
      </c>
    </row>
    <row r="83" spans="2:10" ht="15.75">
      <c r="B83" s="79"/>
      <c r="C83" s="402" t="s">
        <v>677</v>
      </c>
      <c r="D83" s="624">
        <f>inputOth!$E$24</f>
        <v>0</v>
      </c>
      <c r="E83" s="209">
        <f>ROUND(IF(D83&gt;0,(E82*D83),0),0)</f>
        <v>0</v>
      </c>
      <c r="G83" s="741" t="s">
        <v>964</v>
      </c>
      <c r="H83" s="742"/>
      <c r="I83" s="744"/>
      <c r="J83" s="743" t="str">
        <f>cert!F62</f>
        <v>No</v>
      </c>
    </row>
    <row r="84" spans="2:10" ht="15.75">
      <c r="B84" s="45"/>
      <c r="C84" s="854" t="str">
        <f>CONCATENATE("Amount of  ",$E$1-1," Ad Valorem Tax")</f>
        <v>Amount of  -1 Ad Valorem Tax</v>
      </c>
      <c r="D84" s="855"/>
      <c r="E84" s="282">
        <f>E82+E83</f>
        <v>0</v>
      </c>
      <c r="G84" s="745" t="str">
        <f>CONCATENATE("Computed ",E1," tax levy limit amount")</f>
        <v>Computed 0 tax levy limit amount</v>
      </c>
      <c r="H84" s="746"/>
      <c r="I84" s="746"/>
      <c r="J84" s="747">
        <f>computation!J42</f>
        <v>0</v>
      </c>
    </row>
    <row r="85" spans="2:10" ht="15.75">
      <c r="B85" s="265" t="s">
        <v>115</v>
      </c>
      <c r="C85" s="709"/>
      <c r="D85" s="45"/>
      <c r="E85" s="45"/>
      <c r="G85" s="748" t="str">
        <f>CONCATENATE("Total ",E1," tax levy amount")</f>
        <v>Total 0 tax levy amount</v>
      </c>
      <c r="H85" s="749"/>
      <c r="I85" s="749"/>
      <c r="J85" s="750">
        <f>summ!G52</f>
        <v>0</v>
      </c>
    </row>
    <row r="92" spans="3:4" ht="15.75" hidden="1">
      <c r="C92" s="31">
        <f>IF(C35&gt;C37,"See Tab A","")</f>
      </c>
      <c r="D92" s="31">
        <f>IF(D35&gt;D37,"See Tab C","")</f>
      </c>
    </row>
    <row r="93" spans="3:4" ht="15.75" hidden="1">
      <c r="C93" s="31">
        <f>IF(C36&lt;0,"See Tab B","")</f>
      </c>
      <c r="D93" s="31">
        <f>IF(D36&lt;0,"See Tab D","")</f>
      </c>
    </row>
    <row r="94" spans="3:4" ht="15.75" hidden="1">
      <c r="C94" s="31">
        <f>IF(C77&gt;C79,"See Tab A","")</f>
      </c>
      <c r="D94" s="31">
        <f>IF(D77&gt;D79,"See Tab C","")</f>
      </c>
    </row>
    <row r="95" spans="3:4" ht="15.75" hidden="1">
      <c r="C95" s="31">
        <f>IF(C78&lt;0,"See Tab B","")</f>
      </c>
      <c r="D95" s="31">
        <f>IF(D78&lt;0,"See Tab D","")</f>
      </c>
    </row>
    <row r="98" spans="3:4" ht="15.75">
      <c r="C98" s="31">
        <f>IF(C81&lt;0,"See Tab B","")</f>
      </c>
      <c r="D98" s="31">
        <f>IF(D81&lt;0,"See Tab D","")</f>
      </c>
    </row>
  </sheetData>
  <sheetProtection sheet="1"/>
  <mergeCells count="12">
    <mergeCell ref="G17:J17"/>
    <mergeCell ref="G24:J24"/>
    <mergeCell ref="G34:J34"/>
    <mergeCell ref="G59:J59"/>
    <mergeCell ref="G66:J66"/>
    <mergeCell ref="G76:J76"/>
    <mergeCell ref="C38:D38"/>
    <mergeCell ref="C39:D39"/>
    <mergeCell ref="C80:D80"/>
    <mergeCell ref="C81:D81"/>
    <mergeCell ref="C84:D84"/>
    <mergeCell ref="C42:D42"/>
  </mergeCells>
  <conditionalFormatting sqref="E38">
    <cfRule type="cellIs" priority="3" dxfId="351" operator="greaterThan" stopIfTrue="1">
      <formula>$E$35/0.95-$E$35</formula>
    </cfRule>
  </conditionalFormatting>
  <conditionalFormatting sqref="E75">
    <cfRule type="cellIs" priority="4" dxfId="351" operator="greaterThan" stopIfTrue="1">
      <formula>$E$77*0.1</formula>
    </cfRule>
  </conditionalFormatting>
  <conditionalFormatting sqref="C21">
    <cfRule type="cellIs" priority="5" dxfId="351" operator="greaterThan" stopIfTrue="1">
      <formula>$C$23*0.1</formula>
    </cfRule>
  </conditionalFormatting>
  <conditionalFormatting sqref="D21">
    <cfRule type="cellIs" priority="6" dxfId="351" operator="greaterThan" stopIfTrue="1">
      <formula>$D$23*0.1</formula>
    </cfRule>
  </conditionalFormatting>
  <conditionalFormatting sqref="E33">
    <cfRule type="cellIs" priority="7" dxfId="351" operator="greaterThan" stopIfTrue="1">
      <formula>$E$35*0.1</formula>
    </cfRule>
  </conditionalFormatting>
  <conditionalFormatting sqref="E80">
    <cfRule type="cellIs" priority="8" dxfId="351" operator="greaterThan" stopIfTrue="1">
      <formula>$E$77/0.95-$E$77</formula>
    </cfRule>
  </conditionalFormatting>
  <conditionalFormatting sqref="E21">
    <cfRule type="cellIs" priority="9" dxfId="351" operator="greaterThan" stopIfTrue="1">
      <formula>$E$23*0.1+E42</formula>
    </cfRule>
  </conditionalFormatting>
  <conditionalFormatting sqref="E63">
    <cfRule type="cellIs" priority="10" dxfId="351" operator="greaterThan" stopIfTrue="1">
      <formula>$E$65*0.1+E84</formula>
    </cfRule>
  </conditionalFormatting>
  <conditionalFormatting sqref="C75">
    <cfRule type="cellIs" priority="11" dxfId="2" operator="greaterThan" stopIfTrue="1">
      <formula>$C$77*0.1</formula>
    </cfRule>
  </conditionalFormatting>
  <conditionalFormatting sqref="D75">
    <cfRule type="cellIs" priority="12" dxfId="2" operator="greaterThan" stopIfTrue="1">
      <formula>$D$77*0.1</formula>
    </cfRule>
  </conditionalFormatting>
  <conditionalFormatting sqref="D63">
    <cfRule type="cellIs" priority="13" dxfId="2" operator="greaterThan" stopIfTrue="1">
      <formula>$D$65*0.1</formula>
    </cfRule>
  </conditionalFormatting>
  <conditionalFormatting sqref="C63">
    <cfRule type="cellIs" priority="14" dxfId="2" operator="greaterThan" stopIfTrue="1">
      <formula>$C$65*0.1</formula>
    </cfRule>
  </conditionalFormatting>
  <conditionalFormatting sqref="C33">
    <cfRule type="cellIs" priority="15" dxfId="2" operator="greaterThan" stopIfTrue="1">
      <formula>$C$35*0.1</formula>
    </cfRule>
  </conditionalFormatting>
  <conditionalFormatting sqref="D33">
    <cfRule type="cellIs" priority="16" dxfId="2" operator="greaterThan" stopIfTrue="1">
      <formula>$D$35*0.1</formula>
    </cfRule>
  </conditionalFormatting>
  <conditionalFormatting sqref="D35">
    <cfRule type="cellIs" priority="17" dxfId="2" operator="greaterThan" stopIfTrue="1">
      <formula>$D$37</formula>
    </cfRule>
  </conditionalFormatting>
  <conditionalFormatting sqref="C78 C36">
    <cfRule type="cellIs" priority="19" dxfId="2" operator="lessThan" stopIfTrue="1">
      <formula>0</formula>
    </cfRule>
  </conditionalFormatting>
  <conditionalFormatting sqref="C77">
    <cfRule type="cellIs" priority="20" dxfId="2" operator="greaterThan" stopIfTrue="1">
      <formula>$C$79</formula>
    </cfRule>
  </conditionalFormatting>
  <conditionalFormatting sqref="D77">
    <cfRule type="cellIs" priority="21" dxfId="2" operator="greaterThan" stopIfTrue="1">
      <formula>$D$79</formula>
    </cfRule>
  </conditionalFormatting>
  <conditionalFormatting sqref="D78 D36">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5" r:id="rId1"/>
  <headerFooter alignWithMargins="0">
    <oddHeader>&amp;RState of Kansas
County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I105"/>
  <sheetViews>
    <sheetView zoomScalePageLayoutView="0" workbookViewId="0" topLeftCell="A1">
      <selection activeCell="Q161" sqref="Q161"/>
    </sheetView>
  </sheetViews>
  <sheetFormatPr defaultColWidth="8.796875" defaultRowHeight="15"/>
  <cols>
    <col min="1" max="1" width="15.796875" style="31" customWidth="1"/>
    <col min="2" max="2" width="20.796875" style="31" customWidth="1"/>
    <col min="3" max="3" width="8.796875" style="31" customWidth="1"/>
    <col min="4" max="5" width="13.296875" style="31" customWidth="1"/>
    <col min="6" max="6" width="10.796875" style="31" customWidth="1"/>
    <col min="7" max="7" width="1.796875" style="31" customWidth="1"/>
    <col min="8" max="8" width="18.69921875" style="31" customWidth="1"/>
    <col min="9" max="16384" width="8.8984375" style="31" customWidth="1"/>
  </cols>
  <sheetData>
    <row r="1" spans="1:6" ht="15.75">
      <c r="A1" s="803" t="s">
        <v>937</v>
      </c>
      <c r="B1" s="804"/>
      <c r="C1" s="804"/>
      <c r="D1" s="804"/>
      <c r="E1" s="804"/>
      <c r="F1" s="804"/>
    </row>
    <row r="2" spans="1:6" ht="15.75">
      <c r="A2" s="42"/>
      <c r="B2" s="43"/>
      <c r="C2" s="43"/>
      <c r="D2" s="43"/>
      <c r="E2" s="43"/>
      <c r="F2" s="43"/>
    </row>
    <row r="3" spans="1:6" ht="15.75">
      <c r="A3" s="715" t="s">
        <v>938</v>
      </c>
      <c r="B3" s="45"/>
      <c r="C3" s="636"/>
      <c r="D3" s="144"/>
      <c r="E3" s="637"/>
      <c r="F3" s="46"/>
    </row>
    <row r="4" spans="1:6" ht="15.75">
      <c r="A4" s="44"/>
      <c r="B4" s="45"/>
      <c r="C4" s="45"/>
      <c r="D4" s="45"/>
      <c r="E4" s="47"/>
      <c r="F4" s="46"/>
    </row>
    <row r="5" spans="1:6" ht="15.75">
      <c r="A5" s="715" t="s">
        <v>939</v>
      </c>
      <c r="B5" s="45"/>
      <c r="C5" s="48"/>
      <c r="D5" s="49"/>
      <c r="E5" s="50"/>
      <c r="F5" s="46"/>
    </row>
    <row r="6" spans="1:6" ht="15.75">
      <c r="A6" s="45"/>
      <c r="B6" s="45"/>
      <c r="C6" s="45"/>
      <c r="D6" s="45"/>
      <c r="E6" s="45"/>
      <c r="F6" s="45"/>
    </row>
    <row r="7" spans="1:9" ht="15.75" customHeight="1">
      <c r="A7" s="807" t="s">
        <v>941</v>
      </c>
      <c r="B7" s="807"/>
      <c r="C7" s="807"/>
      <c r="D7" s="807"/>
      <c r="E7" s="807"/>
      <c r="F7" s="52"/>
      <c r="G7" s="45"/>
      <c r="H7" s="808" t="s">
        <v>942</v>
      </c>
      <c r="I7" s="809"/>
    </row>
    <row r="8" spans="1:9" ht="15.75">
      <c r="A8" s="807"/>
      <c r="B8" s="807"/>
      <c r="C8" s="807"/>
      <c r="D8" s="807"/>
      <c r="E8" s="807"/>
      <c r="F8" s="52"/>
      <c r="G8" s="45"/>
      <c r="H8" s="810"/>
      <c r="I8" s="811"/>
    </row>
    <row r="9" spans="1:9" ht="15.75">
      <c r="A9" s="807"/>
      <c r="B9" s="807"/>
      <c r="C9" s="807"/>
      <c r="D9" s="807"/>
      <c r="E9" s="807"/>
      <c r="F9" s="52"/>
      <c r="G9" s="45"/>
      <c r="H9" s="810"/>
      <c r="I9" s="811"/>
    </row>
    <row r="10" spans="1:9" ht="15.75">
      <c r="A10" s="805" t="s">
        <v>940</v>
      </c>
      <c r="B10" s="806"/>
      <c r="C10" s="806"/>
      <c r="D10" s="806"/>
      <c r="E10" s="806"/>
      <c r="F10" s="806"/>
      <c r="G10" s="45"/>
      <c r="H10" s="810"/>
      <c r="I10" s="811"/>
    </row>
    <row r="11" spans="1:9" ht="15.75">
      <c r="A11" s="53"/>
      <c r="B11" s="54"/>
      <c r="C11" s="54"/>
      <c r="D11" s="54"/>
      <c r="E11" s="54"/>
      <c r="F11" s="54"/>
      <c r="G11" s="45"/>
      <c r="H11" s="810"/>
      <c r="I11" s="811"/>
    </row>
    <row r="12" spans="1:9" ht="15.75">
      <c r="A12" s="690" t="str">
        <f>CONCATENATE("The input for the following comes directly from the ",C5-1," Budget:")</f>
        <v>The input for the following comes directly from the -1 Budget:</v>
      </c>
      <c r="B12" s="691"/>
      <c r="C12" s="691"/>
      <c r="D12" s="692"/>
      <c r="E12" s="45"/>
      <c r="F12" s="45"/>
      <c r="G12" s="45"/>
      <c r="H12" s="810"/>
      <c r="I12" s="811"/>
    </row>
    <row r="13" spans="1:9" ht="15.75">
      <c r="A13" s="693" t="s">
        <v>221</v>
      </c>
      <c r="B13" s="694"/>
      <c r="C13" s="694"/>
      <c r="D13" s="695"/>
      <c r="E13" s="45"/>
      <c r="F13" s="45"/>
      <c r="G13" s="45"/>
      <c r="H13" s="812"/>
      <c r="I13" s="813"/>
    </row>
    <row r="14" spans="1:9" ht="15.75">
      <c r="A14" s="696" t="s">
        <v>361</v>
      </c>
      <c r="B14" s="85"/>
      <c r="C14" s="85"/>
      <c r="D14" s="697"/>
      <c r="E14" s="45"/>
      <c r="F14" s="45"/>
      <c r="G14" s="717"/>
      <c r="H14" s="201" t="s">
        <v>850</v>
      </c>
      <c r="I14" s="196" t="s">
        <v>65</v>
      </c>
    </row>
    <row r="15" spans="1:9" ht="15.75">
      <c r="A15" s="45"/>
      <c r="B15" s="45"/>
      <c r="C15" s="55"/>
      <c r="D15" s="689">
        <f>C5-1</f>
        <v>-1</v>
      </c>
      <c r="E15" s="56">
        <f>C5-2</f>
        <v>-2</v>
      </c>
      <c r="F15" s="56">
        <f>C5-2</f>
        <v>-2</v>
      </c>
      <c r="G15" s="717"/>
      <c r="H15" s="207" t="str">
        <f>CONCATENATE("",E15," Ad Valorem Tax")</f>
        <v>-2 Ad Valorem Tax</v>
      </c>
      <c r="I15" s="627">
        <v>0</v>
      </c>
    </row>
    <row r="16" spans="1:8" ht="15.75">
      <c r="A16" s="44" t="s">
        <v>242</v>
      </c>
      <c r="B16" s="45"/>
      <c r="C16" s="57" t="s">
        <v>17</v>
      </c>
      <c r="D16" s="58" t="s">
        <v>360</v>
      </c>
      <c r="E16" s="58" t="s">
        <v>302</v>
      </c>
      <c r="F16" s="58" t="s">
        <v>296</v>
      </c>
      <c r="G16" s="717"/>
      <c r="H16" s="209">
        <f>IF($I$15&gt;0,ROUND(E17-(E17*$I$15),0),0)</f>
        <v>0</v>
      </c>
    </row>
    <row r="17" spans="1:8" ht="15.75">
      <c r="A17" s="45"/>
      <c r="B17" s="59" t="s">
        <v>18</v>
      </c>
      <c r="C17" s="60" t="s">
        <v>198</v>
      </c>
      <c r="D17" s="61"/>
      <c r="E17" s="727"/>
      <c r="F17" s="62"/>
      <c r="G17" s="717"/>
      <c r="H17" s="209">
        <f aca="true" t="shared" si="0" ref="H17:H40">IF($I$15&gt;0,ROUND(E18-(E18*$I$15),0),0)</f>
        <v>0</v>
      </c>
    </row>
    <row r="18" spans="1:8" ht="15.75">
      <c r="A18" s="45"/>
      <c r="B18" s="59" t="s">
        <v>81</v>
      </c>
      <c r="C18" s="60" t="s">
        <v>222</v>
      </c>
      <c r="D18" s="61"/>
      <c r="E18" s="727"/>
      <c r="F18" s="62"/>
      <c r="G18" s="717"/>
      <c r="H18" s="209">
        <f t="shared" si="0"/>
        <v>0</v>
      </c>
    </row>
    <row r="19" spans="1:8" ht="15.75">
      <c r="A19" s="45"/>
      <c r="B19" s="59" t="s">
        <v>107</v>
      </c>
      <c r="C19" s="60" t="s">
        <v>971</v>
      </c>
      <c r="D19" s="61"/>
      <c r="E19" s="727"/>
      <c r="F19" s="62"/>
      <c r="G19" s="717"/>
      <c r="H19" s="209">
        <f t="shared" si="0"/>
        <v>0</v>
      </c>
    </row>
    <row r="20" spans="1:8" ht="15.75">
      <c r="A20" s="44"/>
      <c r="B20" s="729"/>
      <c r="C20" s="401"/>
      <c r="D20" s="61"/>
      <c r="E20" s="727"/>
      <c r="F20" s="64"/>
      <c r="G20" s="717"/>
      <c r="H20" s="209">
        <f t="shared" si="0"/>
        <v>0</v>
      </c>
    </row>
    <row r="21" spans="1:8" ht="15.75">
      <c r="A21" s="45"/>
      <c r="B21" s="728"/>
      <c r="C21" s="401"/>
      <c r="D21" s="61"/>
      <c r="E21" s="727"/>
      <c r="F21" s="62"/>
      <c r="G21" s="717"/>
      <c r="H21" s="209">
        <f t="shared" si="0"/>
        <v>0</v>
      </c>
    </row>
    <row r="22" spans="1:8" ht="15.75">
      <c r="A22" s="45"/>
      <c r="B22" s="728"/>
      <c r="C22" s="401"/>
      <c r="D22" s="61"/>
      <c r="E22" s="727"/>
      <c r="F22" s="62"/>
      <c r="G22" s="717"/>
      <c r="H22" s="209">
        <f t="shared" si="0"/>
        <v>0</v>
      </c>
    </row>
    <row r="23" spans="1:8" ht="15.75">
      <c r="A23" s="45"/>
      <c r="B23" s="728"/>
      <c r="C23" s="401"/>
      <c r="D23" s="61"/>
      <c r="E23" s="727"/>
      <c r="F23" s="62"/>
      <c r="G23" s="717"/>
      <c r="H23" s="209">
        <f t="shared" si="0"/>
        <v>0</v>
      </c>
    </row>
    <row r="24" spans="1:8" ht="15.75">
      <c r="A24" s="45"/>
      <c r="B24" s="728"/>
      <c r="C24" s="401"/>
      <c r="D24" s="61"/>
      <c r="E24" s="727"/>
      <c r="F24" s="62"/>
      <c r="G24" s="718"/>
      <c r="H24" s="209">
        <f t="shared" si="0"/>
        <v>0</v>
      </c>
    </row>
    <row r="25" spans="1:8" ht="15.75">
      <c r="A25" s="45"/>
      <c r="B25" s="728"/>
      <c r="C25" s="401"/>
      <c r="D25" s="61"/>
      <c r="E25" s="727"/>
      <c r="F25" s="62"/>
      <c r="G25" s="718"/>
      <c r="H25" s="209">
        <f t="shared" si="0"/>
        <v>0</v>
      </c>
    </row>
    <row r="26" spans="1:8" ht="15.75">
      <c r="A26" s="45"/>
      <c r="B26" s="728"/>
      <c r="C26" s="401"/>
      <c r="D26" s="61"/>
      <c r="E26" s="727"/>
      <c r="F26" s="62"/>
      <c r="G26" s="718"/>
      <c r="H26" s="209">
        <f t="shared" si="0"/>
        <v>0</v>
      </c>
    </row>
    <row r="27" spans="1:8" ht="15.75">
      <c r="A27" s="45"/>
      <c r="B27" s="728"/>
      <c r="C27" s="401"/>
      <c r="D27" s="61"/>
      <c r="E27" s="727"/>
      <c r="F27" s="62"/>
      <c r="G27" s="718"/>
      <c r="H27" s="209">
        <f t="shared" si="0"/>
        <v>0</v>
      </c>
    </row>
    <row r="28" spans="1:8" ht="15.75">
      <c r="A28" s="45"/>
      <c r="B28" s="728"/>
      <c r="C28" s="401"/>
      <c r="D28" s="61"/>
      <c r="E28" s="727"/>
      <c r="F28" s="62"/>
      <c r="G28" s="718"/>
      <c r="H28" s="209">
        <f t="shared" si="0"/>
        <v>0</v>
      </c>
    </row>
    <row r="29" spans="1:8" ht="15.75">
      <c r="A29" s="45"/>
      <c r="B29" s="728"/>
      <c r="C29" s="401"/>
      <c r="D29" s="61"/>
      <c r="E29" s="727"/>
      <c r="F29" s="62"/>
      <c r="G29" s="718"/>
      <c r="H29" s="209">
        <f t="shared" si="0"/>
        <v>0</v>
      </c>
    </row>
    <row r="30" spans="1:8" ht="15.75">
      <c r="A30" s="45"/>
      <c r="B30" s="65"/>
      <c r="C30" s="401"/>
      <c r="D30" s="61"/>
      <c r="E30" s="66"/>
      <c r="F30" s="62"/>
      <c r="G30" s="718"/>
      <c r="H30" s="209">
        <f t="shared" si="0"/>
        <v>0</v>
      </c>
    </row>
    <row r="31" spans="1:8" ht="15.75">
      <c r="A31" s="45"/>
      <c r="B31" s="65"/>
      <c r="C31" s="401"/>
      <c r="D31" s="61"/>
      <c r="E31" s="66"/>
      <c r="F31" s="62"/>
      <c r="G31" s="718"/>
      <c r="H31" s="209">
        <f t="shared" si="0"/>
        <v>0</v>
      </c>
    </row>
    <row r="32" spans="1:8" ht="15.75">
      <c r="A32" s="45"/>
      <c r="B32" s="65"/>
      <c r="C32" s="401"/>
      <c r="D32" s="61"/>
      <c r="E32" s="66"/>
      <c r="F32" s="62"/>
      <c r="G32" s="718"/>
      <c r="H32" s="209">
        <f t="shared" si="0"/>
        <v>0</v>
      </c>
    </row>
    <row r="33" spans="1:8" ht="15.75">
      <c r="A33" s="45"/>
      <c r="B33" s="65"/>
      <c r="C33" s="401"/>
      <c r="D33" s="61"/>
      <c r="E33" s="66"/>
      <c r="F33" s="62"/>
      <c r="G33" s="718"/>
      <c r="H33" s="209">
        <f t="shared" si="0"/>
        <v>0</v>
      </c>
    </row>
    <row r="34" spans="1:8" ht="15.75">
      <c r="A34" s="45"/>
      <c r="B34" s="65"/>
      <c r="C34" s="401"/>
      <c r="D34" s="61"/>
      <c r="E34" s="66"/>
      <c r="F34" s="62"/>
      <c r="G34" s="718"/>
      <c r="H34" s="209">
        <f t="shared" si="0"/>
        <v>0</v>
      </c>
    </row>
    <row r="35" spans="1:8" ht="15.75">
      <c r="A35" s="45"/>
      <c r="B35" s="65"/>
      <c r="C35" s="401"/>
      <c r="D35" s="61"/>
      <c r="E35" s="66"/>
      <c r="F35" s="62"/>
      <c r="G35" s="718"/>
      <c r="H35" s="209">
        <f t="shared" si="0"/>
        <v>0</v>
      </c>
    </row>
    <row r="36" spans="1:8" ht="15.75">
      <c r="A36" s="45"/>
      <c r="B36" s="65"/>
      <c r="C36" s="401"/>
      <c r="D36" s="61"/>
      <c r="E36" s="66"/>
      <c r="F36" s="62"/>
      <c r="G36" s="718"/>
      <c r="H36" s="209">
        <f t="shared" si="0"/>
        <v>0</v>
      </c>
    </row>
    <row r="37" spans="1:8" ht="15.75">
      <c r="A37" s="45"/>
      <c r="B37" s="65"/>
      <c r="C37" s="401"/>
      <c r="D37" s="61"/>
      <c r="E37" s="66"/>
      <c r="F37" s="62"/>
      <c r="G37" s="718"/>
      <c r="H37" s="209">
        <f t="shared" si="0"/>
        <v>0</v>
      </c>
    </row>
    <row r="38" spans="1:8" ht="15.75">
      <c r="A38" s="45"/>
      <c r="B38" s="65"/>
      <c r="C38" s="401"/>
      <c r="D38" s="61"/>
      <c r="E38" s="66"/>
      <c r="F38" s="62"/>
      <c r="G38" s="718"/>
      <c r="H38" s="209">
        <f t="shared" si="0"/>
        <v>0</v>
      </c>
    </row>
    <row r="39" spans="1:8" ht="15.75">
      <c r="A39" s="45"/>
      <c r="B39" s="65"/>
      <c r="C39" s="401"/>
      <c r="D39" s="61"/>
      <c r="E39" s="66"/>
      <c r="F39" s="62"/>
      <c r="G39" s="718"/>
      <c r="H39" s="209">
        <f t="shared" si="0"/>
        <v>0</v>
      </c>
    </row>
    <row r="40" spans="1:8" ht="15.75">
      <c r="A40" s="45"/>
      <c r="B40" s="65"/>
      <c r="C40" s="401"/>
      <c r="D40" s="61"/>
      <c r="E40" s="66"/>
      <c r="F40" s="62"/>
      <c r="G40" s="718"/>
      <c r="H40" s="209">
        <f t="shared" si="0"/>
        <v>0</v>
      </c>
    </row>
    <row r="41" spans="1:6" ht="15.75">
      <c r="A41" s="45"/>
      <c r="B41" s="65"/>
      <c r="C41" s="401"/>
      <c r="D41" s="61"/>
      <c r="E41" s="66"/>
      <c r="F41" s="62"/>
    </row>
    <row r="42" spans="1:6" ht="15.75">
      <c r="A42" s="67" t="str">
        <f>CONCATENATE("Total Tax Levy Funds Levy Amounts and Levy Rates for ",C5-1," Budget")</f>
        <v>Total Tax Levy Funds Levy Amounts and Levy Rates for -1 Budget</v>
      </c>
      <c r="B42" s="68"/>
      <c r="C42" s="68"/>
      <c r="D42" s="69"/>
      <c r="E42" s="70">
        <f>SUM(E17:E41)</f>
        <v>0</v>
      </c>
      <c r="F42" s="71">
        <f>SUM(F17:F41)</f>
        <v>0</v>
      </c>
    </row>
    <row r="43" spans="1:6" ht="15.75">
      <c r="A43" s="50"/>
      <c r="B43" s="46"/>
      <c r="C43" s="46"/>
      <c r="D43" s="46"/>
      <c r="E43" s="72"/>
      <c r="F43" s="73"/>
    </row>
    <row r="44" spans="1:6" ht="15.75">
      <c r="A44" s="44" t="s">
        <v>223</v>
      </c>
      <c r="B44" s="45"/>
      <c r="C44" s="45"/>
      <c r="D44" s="45"/>
      <c r="E44" s="45"/>
      <c r="F44" s="45"/>
    </row>
    <row r="45" spans="1:6" ht="15.75">
      <c r="A45" s="45"/>
      <c r="B45" s="62"/>
      <c r="C45" s="45"/>
      <c r="D45" s="74"/>
      <c r="E45" s="45"/>
      <c r="F45" s="45"/>
    </row>
    <row r="46" spans="1:6" ht="15.75">
      <c r="A46" s="45"/>
      <c r="B46" s="62"/>
      <c r="C46" s="45"/>
      <c r="D46" s="74"/>
      <c r="E46" s="45"/>
      <c r="F46" s="45"/>
    </row>
    <row r="47" spans="1:6" ht="15.75">
      <c r="A47" s="45"/>
      <c r="B47" s="62"/>
      <c r="C47" s="45"/>
      <c r="D47" s="74"/>
      <c r="E47" s="45"/>
      <c r="F47" s="45"/>
    </row>
    <row r="48" spans="1:6" ht="15.75">
      <c r="A48" s="45"/>
      <c r="B48" s="62"/>
      <c r="C48" s="45"/>
      <c r="D48" s="74"/>
      <c r="E48" s="45"/>
      <c r="F48" s="45"/>
    </row>
    <row r="49" spans="1:6" ht="15.75">
      <c r="A49" s="45"/>
      <c r="B49" s="62"/>
      <c r="C49" s="45"/>
      <c r="D49" s="74"/>
      <c r="E49" s="45"/>
      <c r="F49" s="45"/>
    </row>
    <row r="50" spans="1:6" ht="15.75">
      <c r="A50" s="45"/>
      <c r="B50" s="62"/>
      <c r="C50" s="45"/>
      <c r="D50" s="74"/>
      <c r="E50" s="45"/>
      <c r="F50" s="45"/>
    </row>
    <row r="51" spans="1:6" ht="15.75">
      <c r="A51" s="45"/>
      <c r="B51" s="62"/>
      <c r="C51" s="45"/>
      <c r="D51" s="74"/>
      <c r="E51" s="45"/>
      <c r="F51" s="45"/>
    </row>
    <row r="52" spans="1:6" ht="15.75">
      <c r="A52" s="45"/>
      <c r="B52" s="62"/>
      <c r="C52" s="45"/>
      <c r="D52" s="74"/>
      <c r="E52" s="45"/>
      <c r="F52" s="45"/>
    </row>
    <row r="53" spans="1:6" ht="15.75">
      <c r="A53" s="45"/>
      <c r="B53" s="62"/>
      <c r="C53" s="45"/>
      <c r="D53" s="74"/>
      <c r="E53" s="45"/>
      <c r="F53" s="45"/>
    </row>
    <row r="54" spans="1:6" ht="15.75">
      <c r="A54" s="45"/>
      <c r="B54" s="62"/>
      <c r="C54" s="45"/>
      <c r="D54" s="74"/>
      <c r="E54" s="45"/>
      <c r="F54" s="45"/>
    </row>
    <row r="55" spans="1:6" ht="15.75">
      <c r="A55" s="67" t="str">
        <f>CONCATENATE("Total Expenditures for ",C5-1," Budgeted Year")</f>
        <v>Total Expenditures for -1 Budgeted Year</v>
      </c>
      <c r="B55" s="75"/>
      <c r="C55" s="76"/>
      <c r="D55" s="70">
        <f>SUM(D17:D41,D45:D54)</f>
        <v>0</v>
      </c>
      <c r="E55" s="45"/>
      <c r="F55" s="45"/>
    </row>
    <row r="56" spans="1:6" ht="15.75">
      <c r="A56" s="45"/>
      <c r="B56" s="77"/>
      <c r="C56" s="45"/>
      <c r="D56" s="46"/>
      <c r="E56" s="45"/>
      <c r="F56" s="45"/>
    </row>
    <row r="57" spans="1:6" ht="15.75">
      <c r="A57" s="44" t="s">
        <v>260</v>
      </c>
      <c r="B57" s="45"/>
      <c r="C57" s="45"/>
      <c r="D57" s="45"/>
      <c r="E57" s="45"/>
      <c r="F57" s="78"/>
    </row>
    <row r="58" spans="1:6" ht="15.75">
      <c r="A58" s="79">
        <v>1</v>
      </c>
      <c r="B58" s="63"/>
      <c r="C58" s="45"/>
      <c r="D58" s="45"/>
      <c r="E58" s="45"/>
      <c r="F58" s="78"/>
    </row>
    <row r="59" spans="1:6" ht="15.75">
      <c r="A59" s="79">
        <v>2</v>
      </c>
      <c r="B59" s="63"/>
      <c r="C59" s="45"/>
      <c r="D59" s="45"/>
      <c r="E59" s="45"/>
      <c r="F59" s="78"/>
    </row>
    <row r="60" spans="1:6" ht="15.75">
      <c r="A60" s="79">
        <v>3</v>
      </c>
      <c r="B60" s="63"/>
      <c r="C60" s="45"/>
      <c r="D60" s="45"/>
      <c r="E60" s="45"/>
      <c r="F60" s="78"/>
    </row>
    <row r="61" spans="1:6" ht="15.75">
      <c r="A61" s="79">
        <v>4</v>
      </c>
      <c r="B61" s="63"/>
      <c r="C61" s="45"/>
      <c r="D61" s="45"/>
      <c r="E61" s="45"/>
      <c r="F61" s="78"/>
    </row>
    <row r="62" spans="1:6" ht="15.75">
      <c r="A62" s="79">
        <v>5</v>
      </c>
      <c r="B62" s="63"/>
      <c r="C62" s="45"/>
      <c r="D62" s="45"/>
      <c r="E62" s="45"/>
      <c r="F62" s="78"/>
    </row>
    <row r="63" spans="1:6" ht="15.75">
      <c r="A63" s="44"/>
      <c r="B63" s="45"/>
      <c r="C63" s="45"/>
      <c r="D63" s="45"/>
      <c r="E63" s="45"/>
      <c r="F63" s="78"/>
    </row>
    <row r="64" spans="1:6" ht="15.75">
      <c r="A64" s="44"/>
      <c r="B64" s="45"/>
      <c r="C64" s="45"/>
      <c r="D64" s="45"/>
      <c r="E64" s="45"/>
      <c r="F64" s="78"/>
    </row>
    <row r="65" spans="1:6" ht="15.75">
      <c r="A65" s="44" t="str">
        <f>CONCATENATE("County's Final Assessed Valuation for ",C5-1," (November 1,",C5-2," Abstract):")</f>
        <v>County's Final Assessed Valuation for -1 (November 1,-2 Abstract):</v>
      </c>
      <c r="B65" s="45"/>
      <c r="C65" s="45"/>
      <c r="D65" s="45"/>
      <c r="E65" s="66"/>
      <c r="F65" s="80"/>
    </row>
    <row r="66" spans="1:6" ht="15.75">
      <c r="A66" s="45"/>
      <c r="B66" s="45"/>
      <c r="C66" s="45"/>
      <c r="D66" s="45"/>
      <c r="E66" s="45"/>
      <c r="F66" s="45"/>
    </row>
    <row r="67" spans="1:6" ht="15.75">
      <c r="A67" s="698" t="str">
        <f>CONCATENATE("From the ",C5-1," Budget:")</f>
        <v>From the -1 Budget:</v>
      </c>
      <c r="B67" s="699"/>
      <c r="C67" s="45"/>
      <c r="D67" s="801" t="str">
        <f>CONCATENATE("",C5-3," Tax Rate (",C5-2," Column)")</f>
        <v>-3 Tax Rate (-2 Column)</v>
      </c>
      <c r="E67" s="799"/>
      <c r="F67" s="45"/>
    </row>
    <row r="68" spans="1:6" ht="15.75">
      <c r="A68" s="696" t="s">
        <v>350</v>
      </c>
      <c r="B68" s="697"/>
      <c r="C68" s="45"/>
      <c r="D68" s="802"/>
      <c r="E68" s="800"/>
      <c r="F68" s="45"/>
    </row>
    <row r="69" spans="1:6" ht="15.75">
      <c r="A69" s="45"/>
      <c r="B69" s="541" t="str">
        <f>B17</f>
        <v>General</v>
      </c>
      <c r="C69" s="45"/>
      <c r="D69" s="62"/>
      <c r="E69" s="77"/>
      <c r="F69" s="45"/>
    </row>
    <row r="70" spans="1:6" ht="15.75">
      <c r="A70" s="45"/>
      <c r="B70" s="81" t="str">
        <f>B18</f>
        <v>Debt Service</v>
      </c>
      <c r="C70" s="45"/>
      <c r="D70" s="62"/>
      <c r="E70" s="77"/>
      <c r="F70" s="45"/>
    </row>
    <row r="71" spans="1:6" ht="15.75">
      <c r="A71" s="45"/>
      <c r="B71" s="81" t="str">
        <f>B19</f>
        <v>Road &amp; Bridge</v>
      </c>
      <c r="C71" s="45"/>
      <c r="D71" s="62"/>
      <c r="E71" s="77"/>
      <c r="F71" s="45"/>
    </row>
    <row r="72" spans="1:6" ht="15.75">
      <c r="A72" s="45"/>
      <c r="B72" s="81">
        <f>B20</f>
        <v>0</v>
      </c>
      <c r="C72" s="45"/>
      <c r="D72" s="62"/>
      <c r="E72" s="77"/>
      <c r="F72" s="45"/>
    </row>
    <row r="73" spans="1:6" ht="15.75">
      <c r="A73" s="45"/>
      <c r="B73" s="81">
        <f aca="true" t="shared" si="1" ref="B73:B93">B21</f>
        <v>0</v>
      </c>
      <c r="C73" s="45"/>
      <c r="D73" s="62"/>
      <c r="E73" s="77"/>
      <c r="F73" s="45"/>
    </row>
    <row r="74" spans="1:6" ht="15.75">
      <c r="A74" s="45"/>
      <c r="B74" s="81">
        <f t="shared" si="1"/>
        <v>0</v>
      </c>
      <c r="C74" s="45"/>
      <c r="D74" s="62"/>
      <c r="E74" s="77"/>
      <c r="F74" s="45"/>
    </row>
    <row r="75" spans="1:6" ht="15.75">
      <c r="A75" s="45"/>
      <c r="B75" s="81">
        <f t="shared" si="1"/>
        <v>0</v>
      </c>
      <c r="C75" s="45"/>
      <c r="D75" s="62"/>
      <c r="E75" s="77"/>
      <c r="F75" s="45"/>
    </row>
    <row r="76" spans="1:6" ht="15.75">
      <c r="A76" s="45"/>
      <c r="B76" s="81">
        <f t="shared" si="1"/>
        <v>0</v>
      </c>
      <c r="C76" s="45"/>
      <c r="D76" s="62"/>
      <c r="E76" s="77"/>
      <c r="F76" s="45"/>
    </row>
    <row r="77" spans="1:6" ht="15.75">
      <c r="A77" s="45"/>
      <c r="B77" s="81">
        <f t="shared" si="1"/>
        <v>0</v>
      </c>
      <c r="C77" s="45"/>
      <c r="D77" s="62"/>
      <c r="E77" s="77"/>
      <c r="F77" s="45"/>
    </row>
    <row r="78" spans="1:6" ht="15.75">
      <c r="A78" s="45"/>
      <c r="B78" s="81">
        <f t="shared" si="1"/>
        <v>0</v>
      </c>
      <c r="C78" s="45"/>
      <c r="D78" s="62"/>
      <c r="E78" s="77"/>
      <c r="F78" s="45"/>
    </row>
    <row r="79" spans="1:6" ht="15.75">
      <c r="A79" s="45"/>
      <c r="B79" s="81">
        <f t="shared" si="1"/>
        <v>0</v>
      </c>
      <c r="C79" s="45"/>
      <c r="D79" s="62"/>
      <c r="E79" s="77"/>
      <c r="F79" s="45"/>
    </row>
    <row r="80" spans="1:6" ht="15.75">
      <c r="A80" s="45"/>
      <c r="B80" s="81">
        <f t="shared" si="1"/>
        <v>0</v>
      </c>
      <c r="C80" s="45"/>
      <c r="D80" s="62"/>
      <c r="E80" s="77"/>
      <c r="F80" s="45"/>
    </row>
    <row r="81" spans="1:6" ht="15.75">
      <c r="A81" s="45"/>
      <c r="B81" s="81">
        <f t="shared" si="1"/>
        <v>0</v>
      </c>
      <c r="C81" s="45"/>
      <c r="D81" s="62"/>
      <c r="E81" s="77"/>
      <c r="F81" s="45"/>
    </row>
    <row r="82" spans="1:6" ht="15.75">
      <c r="A82" s="45"/>
      <c r="B82" s="81">
        <f t="shared" si="1"/>
        <v>0</v>
      </c>
      <c r="C82" s="45"/>
      <c r="D82" s="62"/>
      <c r="E82" s="77"/>
      <c r="F82" s="45"/>
    </row>
    <row r="83" spans="1:6" ht="15.75">
      <c r="A83" s="45"/>
      <c r="B83" s="81">
        <f t="shared" si="1"/>
        <v>0</v>
      </c>
      <c r="C83" s="45"/>
      <c r="D83" s="62"/>
      <c r="E83" s="77"/>
      <c r="F83" s="45"/>
    </row>
    <row r="84" spans="1:6" ht="15.75">
      <c r="A84" s="45"/>
      <c r="B84" s="81">
        <f t="shared" si="1"/>
        <v>0</v>
      </c>
      <c r="C84" s="45"/>
      <c r="D84" s="62"/>
      <c r="E84" s="77"/>
      <c r="F84" s="45"/>
    </row>
    <row r="85" spans="1:6" ht="15.75">
      <c r="A85" s="45"/>
      <c r="B85" s="81">
        <f t="shared" si="1"/>
        <v>0</v>
      </c>
      <c r="C85" s="45"/>
      <c r="D85" s="62"/>
      <c r="E85" s="77"/>
      <c r="F85" s="45"/>
    </row>
    <row r="86" spans="1:6" ht="15.75">
      <c r="A86" s="45"/>
      <c r="B86" s="81">
        <f t="shared" si="1"/>
        <v>0</v>
      </c>
      <c r="C86" s="45"/>
      <c r="D86" s="62"/>
      <c r="E86" s="77"/>
      <c r="F86" s="45"/>
    </row>
    <row r="87" spans="1:6" ht="15.75">
      <c r="A87" s="45"/>
      <c r="B87" s="81">
        <f t="shared" si="1"/>
        <v>0</v>
      </c>
      <c r="C87" s="45"/>
      <c r="D87" s="62"/>
      <c r="E87" s="77"/>
      <c r="F87" s="45"/>
    </row>
    <row r="88" spans="1:6" ht="15.75">
      <c r="A88" s="45"/>
      <c r="B88" s="81">
        <f t="shared" si="1"/>
        <v>0</v>
      </c>
      <c r="C88" s="45"/>
      <c r="D88" s="62"/>
      <c r="E88" s="77"/>
      <c r="F88" s="45"/>
    </row>
    <row r="89" spans="1:6" ht="15.75">
      <c r="A89" s="45"/>
      <c r="B89" s="81">
        <f t="shared" si="1"/>
        <v>0</v>
      </c>
      <c r="C89" s="45"/>
      <c r="D89" s="62"/>
      <c r="E89" s="77"/>
      <c r="F89" s="45"/>
    </row>
    <row r="90" spans="1:6" ht="15.75">
      <c r="A90" s="45"/>
      <c r="B90" s="81">
        <f t="shared" si="1"/>
        <v>0</v>
      </c>
      <c r="C90" s="45"/>
      <c r="D90" s="62"/>
      <c r="E90" s="77"/>
      <c r="F90" s="45"/>
    </row>
    <row r="91" spans="1:6" ht="15.75">
      <c r="A91" s="45"/>
      <c r="B91" s="81">
        <f t="shared" si="1"/>
        <v>0</v>
      </c>
      <c r="C91" s="45"/>
      <c r="D91" s="62"/>
      <c r="E91" s="77"/>
      <c r="F91" s="45"/>
    </row>
    <row r="92" spans="1:6" ht="15.75">
      <c r="A92" s="45"/>
      <c r="B92" s="81">
        <f t="shared" si="1"/>
        <v>0</v>
      </c>
      <c r="C92" s="45"/>
      <c r="D92" s="62"/>
      <c r="E92" s="77"/>
      <c r="F92" s="45"/>
    </row>
    <row r="93" spans="1:6" ht="15.75">
      <c r="A93" s="45"/>
      <c r="B93" s="81">
        <f t="shared" si="1"/>
        <v>0</v>
      </c>
      <c r="C93" s="45"/>
      <c r="D93" s="62"/>
      <c r="E93" s="77"/>
      <c r="F93" s="45"/>
    </row>
    <row r="94" spans="1:6" ht="15.75">
      <c r="A94" s="68" t="s">
        <v>19</v>
      </c>
      <c r="B94" s="68"/>
      <c r="C94" s="76"/>
      <c r="D94" s="71">
        <f>SUM(D69:D93)</f>
        <v>0</v>
      </c>
      <c r="E94" s="73"/>
      <c r="F94" s="45"/>
    </row>
    <row r="95" spans="1:6" ht="15.75">
      <c r="A95" s="45"/>
      <c r="B95" s="45"/>
      <c r="C95" s="45"/>
      <c r="D95" s="45"/>
      <c r="E95" s="45"/>
      <c r="F95" s="45"/>
    </row>
    <row r="96" spans="1:6" ht="15.75">
      <c r="A96" s="700" t="str">
        <f>CONCATENATE("Total Tax Levied (",C5-2," budget column)")</f>
        <v>Total Tax Levied (-2 budget column)</v>
      </c>
      <c r="B96" s="701"/>
      <c r="C96" s="68"/>
      <c r="D96" s="66"/>
      <c r="E96" s="46"/>
      <c r="F96" s="80"/>
    </row>
    <row r="97" spans="1:6" ht="15.75">
      <c r="A97" s="700" t="str">
        <f>CONCATENATE("Assessed Valuation  (",C5-2," budget column)")</f>
        <v>Assessed Valuation  (-2 budget column)</v>
      </c>
      <c r="B97" s="701"/>
      <c r="C97" s="69"/>
      <c r="D97" s="66"/>
      <c r="E97" s="46"/>
      <c r="F97" s="80"/>
    </row>
    <row r="98" spans="1:6" ht="15.75">
      <c r="A98" s="50"/>
      <c r="B98" s="46"/>
      <c r="C98" s="46"/>
      <c r="D98" s="46"/>
      <c r="E98" s="46"/>
      <c r="F98" s="78"/>
    </row>
    <row r="99" spans="1:6" ht="15.75">
      <c r="A99" s="702" t="str">
        <f>CONCATENATE("From the ",C5-1," Budget, Budget Summary Page")</f>
        <v>From the -1 Budget, Budget Summary Page</v>
      </c>
      <c r="B99" s="703"/>
      <c r="C99" s="80"/>
      <c r="D99" s="80"/>
      <c r="E99" s="80"/>
      <c r="F99" s="80"/>
    </row>
    <row r="100" spans="1:6" ht="15.75">
      <c r="A100" s="704" t="s">
        <v>247</v>
      </c>
      <c r="B100" s="695"/>
      <c r="C100" s="82"/>
      <c r="D100" s="83">
        <f>C5-3</f>
        <v>-3</v>
      </c>
      <c r="E100" s="84">
        <f>C5-2</f>
        <v>-2</v>
      </c>
      <c r="F100" s="80"/>
    </row>
    <row r="101" spans="1:6" s="89" customFormat="1" ht="15.75">
      <c r="A101" s="705" t="s">
        <v>248</v>
      </c>
      <c r="B101" s="697"/>
      <c r="C101" s="86"/>
      <c r="D101" s="61"/>
      <c r="E101" s="61"/>
      <c r="F101" s="80"/>
    </row>
    <row r="102" spans="1:6" s="89" customFormat="1" ht="15.75">
      <c r="A102" s="706" t="s">
        <v>249</v>
      </c>
      <c r="B102" s="707"/>
      <c r="C102" s="88"/>
      <c r="D102" s="61"/>
      <c r="E102" s="61"/>
      <c r="F102" s="82"/>
    </row>
    <row r="103" spans="1:6" s="89" customFormat="1" ht="15.75">
      <c r="A103" s="706" t="s">
        <v>250</v>
      </c>
      <c r="B103" s="707"/>
      <c r="C103" s="88"/>
      <c r="D103" s="61"/>
      <c r="E103" s="61"/>
      <c r="F103" s="82"/>
    </row>
    <row r="104" spans="1:6" s="89" customFormat="1" ht="15.75">
      <c r="A104" s="706" t="s">
        <v>251</v>
      </c>
      <c r="B104" s="707"/>
      <c r="C104" s="88"/>
      <c r="D104" s="61"/>
      <c r="E104" s="61"/>
      <c r="F104" s="82"/>
    </row>
    <row r="105" spans="1:6" ht="15.75">
      <c r="A105" s="89"/>
      <c r="B105" s="89"/>
      <c r="C105" s="89"/>
      <c r="D105" s="89"/>
      <c r="E105" s="89"/>
      <c r="F105" s="89"/>
    </row>
  </sheetData>
  <sheetProtection sheet="1"/>
  <mergeCells count="6">
    <mergeCell ref="E67:E68"/>
    <mergeCell ref="D67:D68"/>
    <mergeCell ref="A1:F1"/>
    <mergeCell ref="A10:F10"/>
    <mergeCell ref="A7:E9"/>
    <mergeCell ref="H7:I13"/>
  </mergeCells>
  <printOptions/>
  <pageMargins left="0.5" right="0.5" top="1" bottom="0.5" header="0.5" footer="0.5"/>
  <pageSetup blackAndWhite="1" fitToHeight="2" fitToWidth="1" horizontalDpi="120" verticalDpi="120" orientation="portrait" scale="96" r:id="rId1"/>
</worksheet>
</file>

<file path=xl/worksheets/sheet20.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Q138" sqref="Q138"/>
    </sheetView>
  </sheetViews>
  <sheetFormatPr defaultColWidth="8.796875" defaultRowHeight="15"/>
  <cols>
    <col min="1" max="1" width="2.3984375" style="31" customWidth="1"/>
    <col min="2" max="2" width="31.09765625" style="31" customWidth="1"/>
    <col min="3" max="4" width="15.796875" style="31" customWidth="1"/>
    <col min="5" max="5" width="16.69921875" style="31" customWidth="1"/>
    <col min="6" max="6" width="8.8984375" style="31" customWidth="1"/>
    <col min="7" max="7" width="10.19921875" style="31" customWidth="1"/>
    <col min="8" max="8" width="8.8984375" style="31" customWidth="1"/>
    <col min="9" max="9" width="5.69921875" style="31" customWidth="1"/>
    <col min="10" max="10" width="10" style="31" customWidth="1"/>
    <col min="11" max="16384" width="8.8984375" style="31" customWidth="1"/>
  </cols>
  <sheetData>
    <row r="1" spans="2:5" ht="15.75">
      <c r="B1" s="160">
        <f>(inputPrYr!C3)</f>
        <v>0</v>
      </c>
      <c r="C1" s="45"/>
      <c r="D1" s="45"/>
      <c r="E1" s="230">
        <f>inputPrYr!C5</f>
        <v>0</v>
      </c>
    </row>
    <row r="2" spans="2:5" ht="15.75">
      <c r="B2" s="169"/>
      <c r="C2" s="266"/>
      <c r="D2" s="266"/>
      <c r="E2" s="267"/>
    </row>
    <row r="3" spans="2:5" ht="15.75">
      <c r="B3" s="414" t="s">
        <v>162</v>
      </c>
      <c r="C3" s="110"/>
      <c r="D3" s="110"/>
      <c r="E3" s="110"/>
    </row>
    <row r="4" spans="2:5" ht="15.75">
      <c r="B4" s="44" t="s">
        <v>49</v>
      </c>
      <c r="C4" s="563" t="s">
        <v>811</v>
      </c>
      <c r="D4" s="564" t="s">
        <v>812</v>
      </c>
      <c r="E4" s="114" t="s">
        <v>813</v>
      </c>
    </row>
    <row r="5" spans="2:5" ht="15.75">
      <c r="B5" s="405">
        <f>inputPrYr!$B$24</f>
        <v>0</v>
      </c>
      <c r="C5" s="386" t="str">
        <f>CONCATENATE("Actual for ",E1-2,"")</f>
        <v>Actual for -2</v>
      </c>
      <c r="D5" s="386" t="str">
        <f>CONCATENATE("Estimate for ",E1-1,"")</f>
        <v>Estimate for -1</v>
      </c>
      <c r="E5" s="244" t="str">
        <f>CONCATENATE("Year for ",E1,"")</f>
        <v>Year for 0</v>
      </c>
    </row>
    <row r="6" spans="2:5" ht="15.75">
      <c r="B6" s="118" t="s">
        <v>194</v>
      </c>
      <c r="C6" s="411"/>
      <c r="D6" s="385">
        <f>C36</f>
        <v>0</v>
      </c>
      <c r="E6" s="209">
        <f>D36</f>
        <v>0</v>
      </c>
    </row>
    <row r="7" spans="2:5" ht="15.75">
      <c r="B7" s="234" t="s">
        <v>196</v>
      </c>
      <c r="C7" s="132"/>
      <c r="D7" s="132"/>
      <c r="E7" s="81"/>
    </row>
    <row r="8" spans="2:5" ht="15.75">
      <c r="B8" s="118" t="s">
        <v>50</v>
      </c>
      <c r="C8" s="411"/>
      <c r="D8" s="385">
        <f>IF(inputPrYr!H23&gt;0,inputPrYr!H23,inputPrYr!E24)</f>
        <v>0</v>
      </c>
      <c r="E8" s="270" t="s">
        <v>35</v>
      </c>
    </row>
    <row r="9" spans="2:5" ht="15.75">
      <c r="B9" s="118" t="s">
        <v>51</v>
      </c>
      <c r="C9" s="411"/>
      <c r="D9" s="411"/>
      <c r="E9" s="66"/>
    </row>
    <row r="10" spans="2:5" ht="15.75">
      <c r="B10" s="118" t="s">
        <v>52</v>
      </c>
      <c r="C10" s="411"/>
      <c r="D10" s="411"/>
      <c r="E10" s="209" t="str">
        <f>mvalloc!E17</f>
        <v>  </v>
      </c>
    </row>
    <row r="11" spans="2:5" ht="15.75">
      <c r="B11" s="118" t="s">
        <v>53</v>
      </c>
      <c r="C11" s="411"/>
      <c r="D11" s="411"/>
      <c r="E11" s="209" t="str">
        <f>mvalloc!F17</f>
        <v>  </v>
      </c>
    </row>
    <row r="12" spans="2:5" ht="15.75">
      <c r="B12" s="132" t="s">
        <v>154</v>
      </c>
      <c r="C12" s="411"/>
      <c r="D12" s="411"/>
      <c r="E12" s="209" t="str">
        <f>mvalloc!G17</f>
        <v>  </v>
      </c>
    </row>
    <row r="13" spans="2:5" ht="15.75">
      <c r="B13" s="273" t="s">
        <v>955</v>
      </c>
      <c r="C13" s="411"/>
      <c r="D13" s="411"/>
      <c r="E13" s="209" t="str">
        <f>mvalloc!H17</f>
        <v> </v>
      </c>
    </row>
    <row r="14" spans="2:5" ht="15.75">
      <c r="B14" s="273" t="s">
        <v>956</v>
      </c>
      <c r="C14" s="411"/>
      <c r="D14" s="411"/>
      <c r="E14" s="209" t="str">
        <f>mvalloc!I17</f>
        <v> </v>
      </c>
    </row>
    <row r="15" spans="2:5" ht="15.75">
      <c r="B15" s="261"/>
      <c r="C15" s="411"/>
      <c r="D15" s="411"/>
      <c r="E15" s="66"/>
    </row>
    <row r="16" spans="2:5" ht="15.75">
      <c r="B16" s="261"/>
      <c r="C16" s="411"/>
      <c r="D16" s="411"/>
      <c r="E16" s="66"/>
    </row>
    <row r="17" spans="2:10" ht="15.75">
      <c r="B17" s="261"/>
      <c r="C17" s="411"/>
      <c r="D17" s="411"/>
      <c r="E17" s="66"/>
      <c r="G17" s="863" t="str">
        <f>CONCATENATE("Desired Carryover Into ",E1+1,"")</f>
        <v>Desired Carryover Into 1</v>
      </c>
      <c r="H17" s="864"/>
      <c r="I17" s="864"/>
      <c r="J17" s="833"/>
    </row>
    <row r="18" spans="2:10" ht="15.75">
      <c r="B18" s="261"/>
      <c r="C18" s="411"/>
      <c r="D18" s="411"/>
      <c r="E18" s="66"/>
      <c r="G18" s="567"/>
      <c r="H18" s="568"/>
      <c r="I18" s="569"/>
      <c r="J18" s="570"/>
    </row>
    <row r="19" spans="2:10" ht="15.75">
      <c r="B19" s="249" t="s">
        <v>57</v>
      </c>
      <c r="C19" s="411"/>
      <c r="D19" s="411"/>
      <c r="E19" s="66"/>
      <c r="G19" s="571" t="s">
        <v>683</v>
      </c>
      <c r="H19" s="569"/>
      <c r="I19" s="569"/>
      <c r="J19" s="572">
        <v>0</v>
      </c>
    </row>
    <row r="20" spans="2:10" ht="15.75">
      <c r="B20" s="250" t="s">
        <v>297</v>
      </c>
      <c r="C20" s="411"/>
      <c r="D20" s="411"/>
      <c r="E20" s="280">
        <f>Nhood!E13*-1</f>
        <v>0</v>
      </c>
      <c r="G20" s="567" t="s">
        <v>684</v>
      </c>
      <c r="H20" s="568"/>
      <c r="I20" s="568"/>
      <c r="J20" s="573">
        <f>IF(J19=0,"",ROUND((J19+E42-G32)/inputOth!E5*1000,3)-G37)</f>
      </c>
    </row>
    <row r="21" spans="2:10" ht="15.75">
      <c r="B21" s="250" t="s">
        <v>298</v>
      </c>
      <c r="C21" s="411"/>
      <c r="D21" s="411"/>
      <c r="E21" s="66"/>
      <c r="G21" s="574" t="str">
        <f>CONCATENATE("",E1," Tot Exp/Non-Appr Must Be:")</f>
        <v>0 Tot Exp/Non-Appr Must Be:</v>
      </c>
      <c r="H21" s="575"/>
      <c r="I21" s="576"/>
      <c r="J21" s="577">
        <f>IF(J19&gt;0,IF(E39&lt;E24,IF(J19=G32,E39,((J19-G32)*(1-D41))+E24),E39+(J19-G32)),0)</f>
        <v>0</v>
      </c>
    </row>
    <row r="22" spans="2:10" ht="15.75">
      <c r="B22" s="250" t="s">
        <v>300</v>
      </c>
      <c r="C22" s="384">
        <f>IF(C23*0.1&lt;C21,"Exceed 10% Rule","")</f>
      </c>
      <c r="D22" s="384">
        <f>IF(D23*0.1&lt;D21,"Exceed 10% Rule","")</f>
      </c>
      <c r="E22" s="277">
        <f>IF(E23*0.1+E42&lt;E21,"Exceed 10% Rule","")</f>
      </c>
      <c r="G22" s="578" t="s">
        <v>814</v>
      </c>
      <c r="H22" s="579"/>
      <c r="I22" s="579"/>
      <c r="J22" s="580">
        <f>IF(J19&gt;0,J21-E39,0)</f>
        <v>0</v>
      </c>
    </row>
    <row r="23" spans="2:10" ht="15.75">
      <c r="B23" s="252" t="s">
        <v>58</v>
      </c>
      <c r="C23" s="388">
        <f>SUM(C8:C21)</f>
        <v>0</v>
      </c>
      <c r="D23" s="388">
        <f>SUM(D8:D21)</f>
        <v>0</v>
      </c>
      <c r="E23" s="296">
        <f>SUM(E8:E21)</f>
        <v>0</v>
      </c>
      <c r="G23" s="581"/>
      <c r="H23" s="581"/>
      <c r="I23" s="581"/>
      <c r="J23" s="581"/>
    </row>
    <row r="24" spans="2:10" ht="15.75">
      <c r="B24" s="252" t="s">
        <v>59</v>
      </c>
      <c r="C24" s="388">
        <f>C6+C23</f>
        <v>0</v>
      </c>
      <c r="D24" s="388">
        <f>D6+D23</f>
        <v>0</v>
      </c>
      <c r="E24" s="296">
        <f>E6+E23</f>
        <v>0</v>
      </c>
      <c r="G24" s="863" t="str">
        <f>CONCATENATE("Projected Carryover Into ",E1+1,"")</f>
        <v>Projected Carryover Into 1</v>
      </c>
      <c r="H24" s="867"/>
      <c r="I24" s="867"/>
      <c r="J24" s="868"/>
    </row>
    <row r="25" spans="2:10" ht="15.75">
      <c r="B25" s="118" t="s">
        <v>62</v>
      </c>
      <c r="C25" s="250"/>
      <c r="D25" s="250"/>
      <c r="E25" s="128"/>
      <c r="G25" s="567"/>
      <c r="H25" s="569"/>
      <c r="I25" s="569"/>
      <c r="J25" s="582"/>
    </row>
    <row r="26" spans="2:10" ht="15.75">
      <c r="B26" s="261"/>
      <c r="C26" s="411"/>
      <c r="D26" s="411"/>
      <c r="E26" s="66"/>
      <c r="G26" s="583">
        <f>D36</f>
        <v>0</v>
      </c>
      <c r="H26" s="584" t="str">
        <f>CONCATENATE("",E1-1," Ending Cash Balance (est.)")</f>
        <v>-1 Ending Cash Balance (est.)</v>
      </c>
      <c r="I26" s="585"/>
      <c r="J26" s="582"/>
    </row>
    <row r="27" spans="2:10" ht="15.75">
      <c r="B27" s="261"/>
      <c r="C27" s="411"/>
      <c r="D27" s="411"/>
      <c r="E27" s="66"/>
      <c r="G27" s="583">
        <f>E23</f>
        <v>0</v>
      </c>
      <c r="H27" s="569" t="str">
        <f>CONCATENATE("",E1," Non-AV Receipts (est.)")</f>
        <v>0 Non-AV Receipts (est.)</v>
      </c>
      <c r="I27" s="585"/>
      <c r="J27" s="582"/>
    </row>
    <row r="28" spans="2:11" ht="15.75">
      <c r="B28" s="261"/>
      <c r="C28" s="411"/>
      <c r="D28" s="411"/>
      <c r="E28" s="66"/>
      <c r="G28" s="586">
        <f>IF(E41&gt;0,E40,E42)</f>
        <v>0</v>
      </c>
      <c r="H28" s="569" t="str">
        <f>CONCATENATE("",E1," Ad Valorem Tax (est.)")</f>
        <v>0 Ad Valorem Tax (est.)</v>
      </c>
      <c r="I28" s="585"/>
      <c r="J28" s="582"/>
      <c r="K28" s="622">
        <f>IF(G28=E42,"","Note: Does not include Delinquent Taxes")</f>
      </c>
    </row>
    <row r="29" spans="2:10" ht="15.75">
      <c r="B29" s="261"/>
      <c r="C29" s="411"/>
      <c r="D29" s="411"/>
      <c r="E29" s="66"/>
      <c r="G29" s="583">
        <f>SUM(G26:G28)</f>
        <v>0</v>
      </c>
      <c r="H29" s="569" t="str">
        <f>CONCATENATE("Total ",E1," Resources Available")</f>
        <v>Total 0 Resources Available</v>
      </c>
      <c r="I29" s="585"/>
      <c r="J29" s="582"/>
    </row>
    <row r="30" spans="2:10" ht="15.75">
      <c r="B30" s="261"/>
      <c r="C30" s="411"/>
      <c r="D30" s="411"/>
      <c r="E30" s="66"/>
      <c r="G30" s="587"/>
      <c r="H30" s="569"/>
      <c r="I30" s="569"/>
      <c r="J30" s="582"/>
    </row>
    <row r="31" spans="2:10" ht="15.75">
      <c r="B31" s="261"/>
      <c r="C31" s="411"/>
      <c r="D31" s="411"/>
      <c r="E31" s="66"/>
      <c r="G31" s="586">
        <f>ROUND(C35*0.05+C35,0)</f>
        <v>0</v>
      </c>
      <c r="H31" s="569" t="str">
        <f>CONCATENATE("Less ",E1-2," Expenditures + 5%")</f>
        <v>Less -2 Expenditures + 5%</v>
      </c>
      <c r="I31" s="585"/>
      <c r="J31" s="602"/>
    </row>
    <row r="32" spans="2:10" ht="15.75">
      <c r="B32" s="250" t="str">
        <f>CONCATENATE("Cash Forward (",E1," column)")</f>
        <v>Cash Forward (0 column)</v>
      </c>
      <c r="C32" s="411"/>
      <c r="D32" s="411"/>
      <c r="E32" s="66"/>
      <c r="G32" s="588">
        <f>G29-G31</f>
        <v>0</v>
      </c>
      <c r="H32" s="589" t="str">
        <f>CONCATENATE("Projected ",E1+1," carryover (est.)")</f>
        <v>Projected 1 carryover (est.)</v>
      </c>
      <c r="I32" s="590"/>
      <c r="J32" s="591"/>
    </row>
    <row r="33" spans="2:10" ht="15.75">
      <c r="B33" s="250" t="s">
        <v>298</v>
      </c>
      <c r="C33" s="411"/>
      <c r="D33" s="411"/>
      <c r="E33" s="66"/>
      <c r="G33" s="581"/>
      <c r="H33" s="581"/>
      <c r="I33" s="581"/>
      <c r="J33" s="581"/>
    </row>
    <row r="34" spans="2:10" ht="15.75">
      <c r="B34" s="250" t="s">
        <v>299</v>
      </c>
      <c r="C34" s="384">
        <f>IF(C35*0.1&lt;C33,"Exceed 10% Rule","")</f>
      </c>
      <c r="D34" s="384">
        <f>IF(D35*0.1&lt;D33,"Exceed 10% Rule","")</f>
      </c>
      <c r="E34" s="277">
        <f>IF(E35*0.1&lt;E33,"Exceed 10% Rule","")</f>
      </c>
      <c r="G34" s="860" t="s">
        <v>815</v>
      </c>
      <c r="H34" s="861"/>
      <c r="I34" s="861"/>
      <c r="J34" s="862"/>
    </row>
    <row r="35" spans="2:10" ht="15.75">
      <c r="B35" s="252" t="s">
        <v>63</v>
      </c>
      <c r="C35" s="388">
        <f>SUM(C26:C33)</f>
        <v>0</v>
      </c>
      <c r="D35" s="388">
        <f>SUM(D26:D33)</f>
        <v>0</v>
      </c>
      <c r="E35" s="296">
        <f>SUM(E26:E33)</f>
        <v>0</v>
      </c>
      <c r="G35" s="592"/>
      <c r="H35" s="584"/>
      <c r="I35" s="593"/>
      <c r="J35" s="594"/>
    </row>
    <row r="36" spans="2:10" ht="15.75">
      <c r="B36" s="118" t="s">
        <v>195</v>
      </c>
      <c r="C36" s="383">
        <f>C24-C35</f>
        <v>0</v>
      </c>
      <c r="D36" s="383">
        <f>D24-D35</f>
        <v>0</v>
      </c>
      <c r="E36" s="270" t="s">
        <v>35</v>
      </c>
      <c r="G36" s="595" t="str">
        <f>summ!H23</f>
        <v>  </v>
      </c>
      <c r="H36" s="584" t="str">
        <f>CONCATENATE("",E1," Fund Mill Rate")</f>
        <v>0 Fund Mill Rate</v>
      </c>
      <c r="I36" s="593"/>
      <c r="J36" s="594"/>
    </row>
    <row r="37" spans="2:10" ht="15.75">
      <c r="B37" s="146" t="str">
        <f>CONCATENATE("",E1-2,"/",E1-1,"/",E1," Budget Authority Amount:")</f>
        <v>-2/-1/0 Budget Authority Amount:</v>
      </c>
      <c r="C37" s="272">
        <f>inputOth!B38</f>
        <v>0</v>
      </c>
      <c r="D37" s="272">
        <f>inputPrYr!D24</f>
        <v>0</v>
      </c>
      <c r="E37" s="209">
        <f>E35</f>
        <v>0</v>
      </c>
      <c r="F37" s="263"/>
      <c r="G37" s="596" t="str">
        <f>summ!E23</f>
        <v>  </v>
      </c>
      <c r="H37" s="584" t="str">
        <f>CONCATENATE("",E1-1," Fund Mill Rate")</f>
        <v>-1 Fund Mill Rate</v>
      </c>
      <c r="I37" s="593"/>
      <c r="J37" s="594"/>
    </row>
    <row r="38" spans="2:10" ht="15.75">
      <c r="B38" s="231"/>
      <c r="C38" s="856" t="s">
        <v>675</v>
      </c>
      <c r="D38" s="857"/>
      <c r="E38" s="66"/>
      <c r="F38" s="423">
        <f>IF(E35/0.95-E35&lt;E38,"Exceeds 5%","")</f>
      </c>
      <c r="G38" s="597">
        <f>summ!H52</f>
        <v>0</v>
      </c>
      <c r="H38" s="584" t="str">
        <f>CONCATENATE("Total ",E1," Mill Rate")</f>
        <v>Total 0 Mill Rate</v>
      </c>
      <c r="I38" s="593"/>
      <c r="J38" s="594"/>
    </row>
    <row r="39" spans="2:10" ht="15.75">
      <c r="B39" s="417" t="str">
        <f>CONCATENATE(C92,"     ",D92)</f>
        <v>     </v>
      </c>
      <c r="C39" s="858" t="s">
        <v>676</v>
      </c>
      <c r="D39" s="859"/>
      <c r="E39" s="209">
        <f>E35+E38</f>
        <v>0</v>
      </c>
      <c r="G39" s="596">
        <f>summ!E52</f>
        <v>0</v>
      </c>
      <c r="H39" s="598" t="str">
        <f>CONCATENATE("Total ",E1-1," Mill Rate")</f>
        <v>Total -1 Mill Rate</v>
      </c>
      <c r="I39" s="599"/>
      <c r="J39" s="600"/>
    </row>
    <row r="40" spans="2:10" ht="15.75">
      <c r="B40" s="417" t="str">
        <f>CONCATENATE(C93,"      ",D93)</f>
        <v>      </v>
      </c>
      <c r="C40" s="264"/>
      <c r="D40" s="79" t="s">
        <v>64</v>
      </c>
      <c r="E40" s="70">
        <f>IF(E39-E24&gt;0,E39-E24,0)</f>
        <v>0</v>
      </c>
      <c r="G40" s="581"/>
      <c r="H40" s="581"/>
      <c r="I40" s="581"/>
      <c r="J40" s="581"/>
    </row>
    <row r="41" spans="2:10" ht="15.75">
      <c r="B41" s="79"/>
      <c r="C41" s="402" t="s">
        <v>677</v>
      </c>
      <c r="D41" s="624">
        <f>inputOth!$E$24</f>
        <v>0</v>
      </c>
      <c r="E41" s="209">
        <f>ROUND(IF(D41&gt;0,(E40*D41),0),0)</f>
        <v>0</v>
      </c>
      <c r="G41" s="741" t="s">
        <v>964</v>
      </c>
      <c r="H41" s="742"/>
      <c r="I41" s="744"/>
      <c r="J41" s="743" t="str">
        <f>cert!F62</f>
        <v>No</v>
      </c>
    </row>
    <row r="42" spans="2:10" ht="15.75">
      <c r="B42" s="45"/>
      <c r="C42" s="854" t="str">
        <f>CONCATENATE("Amount of  ",$E$1-1," Ad Valorem Tax")</f>
        <v>Amount of  -1 Ad Valorem Tax</v>
      </c>
      <c r="D42" s="855"/>
      <c r="E42" s="282">
        <f>E40+E41</f>
        <v>0</v>
      </c>
      <c r="G42" s="758" t="str">
        <f>CONCATENATE("Computed ",E1," tax levy limit amount")</f>
        <v>Computed 0 tax levy limit amount</v>
      </c>
      <c r="H42" s="759"/>
      <c r="I42" s="759"/>
      <c r="J42" s="760">
        <f>computation!J42</f>
        <v>0</v>
      </c>
    </row>
    <row r="43" spans="2:10" ht="15.75">
      <c r="B43" s="45"/>
      <c r="C43" s="547"/>
      <c r="D43" s="45"/>
      <c r="E43" s="45"/>
      <c r="G43" s="761" t="str">
        <f>CONCATENATE("Total ",E1," tax levy amount")</f>
        <v>Total 0 tax levy amount</v>
      </c>
      <c r="H43" s="762"/>
      <c r="I43" s="762"/>
      <c r="J43" s="763">
        <f>summ!G52</f>
        <v>0</v>
      </c>
    </row>
    <row r="44" spans="2:10" ht="15.75">
      <c r="B44" s="45"/>
      <c r="C44" s="547"/>
      <c r="D44" s="45"/>
      <c r="E44" s="45"/>
      <c r="G44" s="581"/>
      <c r="H44" s="581"/>
      <c r="I44" s="581"/>
      <c r="J44" s="581"/>
    </row>
    <row r="45" spans="2:10" ht="15.75">
      <c r="B45" s="45"/>
      <c r="C45" s="110"/>
      <c r="D45" s="110"/>
      <c r="E45" s="110"/>
      <c r="G45" s="581"/>
      <c r="H45" s="581"/>
      <c r="I45" s="581"/>
      <c r="J45" s="581"/>
    </row>
    <row r="46" spans="2:10" ht="15.75">
      <c r="B46" s="44" t="s">
        <v>49</v>
      </c>
      <c r="C46" s="563" t="str">
        <f aca="true" t="shared" si="0" ref="C46:E47">C4</f>
        <v>Prior Year </v>
      </c>
      <c r="D46" s="564" t="str">
        <f t="shared" si="0"/>
        <v>Current Year </v>
      </c>
      <c r="E46" s="114" t="str">
        <f t="shared" si="0"/>
        <v>Proposed Budget </v>
      </c>
      <c r="G46" s="581"/>
      <c r="H46" s="581"/>
      <c r="I46" s="581"/>
      <c r="J46" s="581"/>
    </row>
    <row r="47" spans="2:10" ht="15.75">
      <c r="B47" s="405">
        <f>inputPrYr!$B$25</f>
        <v>0</v>
      </c>
      <c r="C47" s="386" t="str">
        <f t="shared" si="0"/>
        <v>Actual for -2</v>
      </c>
      <c r="D47" s="386" t="str">
        <f t="shared" si="0"/>
        <v>Estimate for -1</v>
      </c>
      <c r="E47" s="256" t="str">
        <f t="shared" si="0"/>
        <v>Year for 0</v>
      </c>
      <c r="G47" s="581"/>
      <c r="H47" s="581"/>
      <c r="I47" s="581"/>
      <c r="J47" s="581"/>
    </row>
    <row r="48" spans="2:10" ht="15.75">
      <c r="B48" s="118" t="s">
        <v>194</v>
      </c>
      <c r="C48" s="411"/>
      <c r="D48" s="385">
        <f>C78</f>
        <v>0</v>
      </c>
      <c r="E48" s="209">
        <f>D78</f>
        <v>0</v>
      </c>
      <c r="G48" s="581"/>
      <c r="H48" s="581"/>
      <c r="I48" s="581"/>
      <c r="J48" s="581"/>
    </row>
    <row r="49" spans="2:10" ht="15.75">
      <c r="B49" s="245" t="s">
        <v>196</v>
      </c>
      <c r="C49" s="132"/>
      <c r="D49" s="132"/>
      <c r="E49" s="81"/>
      <c r="G49" s="581"/>
      <c r="H49" s="581"/>
      <c r="I49" s="581"/>
      <c r="J49" s="581"/>
    </row>
    <row r="50" spans="2:10" ht="15.75">
      <c r="B50" s="118" t="s">
        <v>50</v>
      </c>
      <c r="C50" s="411"/>
      <c r="D50" s="385">
        <f>IF(inputPrYr!H24&gt;0,inputPrYr!H24,inputPrYr!E25)</f>
        <v>0</v>
      </c>
      <c r="E50" s="270" t="s">
        <v>35</v>
      </c>
      <c r="G50" s="581"/>
      <c r="H50" s="581"/>
      <c r="I50" s="581"/>
      <c r="J50" s="581"/>
    </row>
    <row r="51" spans="2:10" ht="15.75">
      <c r="B51" s="118" t="s">
        <v>51</v>
      </c>
      <c r="C51" s="411"/>
      <c r="D51" s="411"/>
      <c r="E51" s="66"/>
      <c r="G51" s="581"/>
      <c r="H51" s="581"/>
      <c r="I51" s="581"/>
      <c r="J51" s="581"/>
    </row>
    <row r="52" spans="2:10" ht="15.75">
      <c r="B52" s="118" t="s">
        <v>52</v>
      </c>
      <c r="C52" s="411"/>
      <c r="D52" s="411"/>
      <c r="E52" s="209" t="str">
        <f>mvalloc!E18</f>
        <v>  </v>
      </c>
      <c r="G52" s="581"/>
      <c r="H52" s="581"/>
      <c r="I52" s="581"/>
      <c r="J52" s="581"/>
    </row>
    <row r="53" spans="2:10" ht="15.75">
      <c r="B53" s="118" t="s">
        <v>53</v>
      </c>
      <c r="C53" s="411"/>
      <c r="D53" s="411"/>
      <c r="E53" s="209" t="str">
        <f>mvalloc!F18</f>
        <v>  </v>
      </c>
      <c r="G53" s="581"/>
      <c r="H53" s="581"/>
      <c r="I53" s="581"/>
      <c r="J53" s="581"/>
    </row>
    <row r="54" spans="2:10" ht="15.75">
      <c r="B54" s="132" t="s">
        <v>154</v>
      </c>
      <c r="C54" s="411"/>
      <c r="D54" s="411"/>
      <c r="E54" s="209" t="str">
        <f>mvalloc!G18</f>
        <v>  </v>
      </c>
      <c r="G54" s="581"/>
      <c r="H54" s="581"/>
      <c r="I54" s="581"/>
      <c r="J54" s="581"/>
    </row>
    <row r="55" spans="2:10" ht="15.75">
      <c r="B55" s="273" t="s">
        <v>955</v>
      </c>
      <c r="C55" s="411"/>
      <c r="D55" s="411"/>
      <c r="E55" s="209" t="str">
        <f>mvalloc!H18</f>
        <v> </v>
      </c>
      <c r="G55" s="581"/>
      <c r="H55" s="581"/>
      <c r="I55" s="581"/>
      <c r="J55" s="581"/>
    </row>
    <row r="56" spans="2:10" ht="15.75">
      <c r="B56" s="273" t="s">
        <v>956</v>
      </c>
      <c r="C56" s="411"/>
      <c r="D56" s="411"/>
      <c r="E56" s="209" t="str">
        <f>mvalloc!I18</f>
        <v> </v>
      </c>
      <c r="G56" s="581"/>
      <c r="H56" s="581"/>
      <c r="I56" s="581"/>
      <c r="J56" s="581"/>
    </row>
    <row r="57" spans="2:10" ht="15.75">
      <c r="B57" s="261"/>
      <c r="C57" s="411"/>
      <c r="D57" s="411"/>
      <c r="E57" s="66"/>
      <c r="G57" s="581"/>
      <c r="H57" s="581"/>
      <c r="I57" s="581"/>
      <c r="J57" s="581"/>
    </row>
    <row r="58" spans="2:10" ht="15.75">
      <c r="B58" s="261"/>
      <c r="C58" s="411"/>
      <c r="D58" s="411"/>
      <c r="E58" s="66"/>
      <c r="G58" s="581"/>
      <c r="H58" s="581"/>
      <c r="I58" s="581"/>
      <c r="J58" s="581"/>
    </row>
    <row r="59" spans="2:10" ht="15.75">
      <c r="B59" s="261"/>
      <c r="C59" s="411"/>
      <c r="D59" s="411"/>
      <c r="E59" s="66"/>
      <c r="G59" s="863" t="str">
        <f>CONCATENATE("Desired Carryover Into ",E1+1,"")</f>
        <v>Desired Carryover Into 1</v>
      </c>
      <c r="H59" s="864"/>
      <c r="I59" s="864"/>
      <c r="J59" s="833"/>
    </row>
    <row r="60" spans="2:10" ht="15.75">
      <c r="B60" s="261"/>
      <c r="C60" s="411"/>
      <c r="D60" s="411"/>
      <c r="E60" s="66"/>
      <c r="G60" s="567"/>
      <c r="H60" s="568"/>
      <c r="I60" s="569"/>
      <c r="J60" s="570"/>
    </row>
    <row r="61" spans="2:10" ht="15.75">
      <c r="B61" s="249" t="s">
        <v>57</v>
      </c>
      <c r="C61" s="411"/>
      <c r="D61" s="411"/>
      <c r="E61" s="66"/>
      <c r="G61" s="571" t="s">
        <v>683</v>
      </c>
      <c r="H61" s="569"/>
      <c r="I61" s="569"/>
      <c r="J61" s="572"/>
    </row>
    <row r="62" spans="2:10" ht="15.75">
      <c r="B62" s="250" t="s">
        <v>297</v>
      </c>
      <c r="C62" s="411"/>
      <c r="D62" s="411"/>
      <c r="E62" s="280">
        <f>Nhood!E14*-1</f>
        <v>0</v>
      </c>
      <c r="G62" s="567" t="s">
        <v>684</v>
      </c>
      <c r="H62" s="568"/>
      <c r="I62" s="568"/>
      <c r="J62" s="573">
        <f>IF(J61=0,"",ROUND((J61+E84-G74)/inputOth!E5*1000,3)-G79)</f>
      </c>
    </row>
    <row r="63" spans="2:10" ht="15.75">
      <c r="B63" s="250" t="s">
        <v>298</v>
      </c>
      <c r="C63" s="411"/>
      <c r="D63" s="411"/>
      <c r="E63" s="66"/>
      <c r="G63" s="574" t="str">
        <f>CONCATENATE("",E1," Tot Exp/Non-Appr Must Be:")</f>
        <v>0 Tot Exp/Non-Appr Must Be:</v>
      </c>
      <c r="H63" s="575"/>
      <c r="I63" s="576"/>
      <c r="J63" s="577">
        <f>IF(J61&gt;0,IF(E81&lt;E66,IF(J61=G74,E81,((J61-G74)*(1-D83))+E66),E81+(J61-G74)),0)</f>
        <v>0</v>
      </c>
    </row>
    <row r="64" spans="2:10" ht="15.75">
      <c r="B64" s="250" t="s">
        <v>300</v>
      </c>
      <c r="C64" s="384">
        <f>IF(C65*0.1&lt;C63,"Exceed 10% Rule","")</f>
      </c>
      <c r="D64" s="384">
        <f>IF(D65*0.1&lt;D63,"Exceed 10% Rule","")</f>
      </c>
      <c r="E64" s="277">
        <f>IF(E65*0.1+E84&lt;E63,"Exceed 10% Rule","")</f>
      </c>
      <c r="G64" s="578" t="s">
        <v>814</v>
      </c>
      <c r="H64" s="579"/>
      <c r="I64" s="579"/>
      <c r="J64" s="580">
        <f>IF(J61&gt;0,J63-E81,0)</f>
        <v>0</v>
      </c>
    </row>
    <row r="65" spans="2:10" ht="15.75">
      <c r="B65" s="252" t="s">
        <v>58</v>
      </c>
      <c r="C65" s="388">
        <f>SUM(C50:C63)</f>
        <v>0</v>
      </c>
      <c r="D65" s="388">
        <f>SUM(D50:D63)</f>
        <v>0</v>
      </c>
      <c r="E65" s="296">
        <f>SUM(E50:E63)</f>
        <v>0</v>
      </c>
      <c r="G65" s="581"/>
      <c r="H65" s="581"/>
      <c r="I65" s="581"/>
      <c r="J65" s="581"/>
    </row>
    <row r="66" spans="2:10" ht="15.75">
      <c r="B66" s="252" t="s">
        <v>59</v>
      </c>
      <c r="C66" s="388">
        <f>C48+C65</f>
        <v>0</v>
      </c>
      <c r="D66" s="388">
        <f>D48+D65</f>
        <v>0</v>
      </c>
      <c r="E66" s="296">
        <f>E48+E65</f>
        <v>0</v>
      </c>
      <c r="G66" s="863" t="str">
        <f>CONCATENATE("Projected Carryover Into ",E1+1,"")</f>
        <v>Projected Carryover Into 1</v>
      </c>
      <c r="H66" s="869"/>
      <c r="I66" s="869"/>
      <c r="J66" s="868"/>
    </row>
    <row r="67" spans="2:10" ht="15.75">
      <c r="B67" s="118" t="s">
        <v>62</v>
      </c>
      <c r="C67" s="250"/>
      <c r="D67" s="250"/>
      <c r="E67" s="128"/>
      <c r="G67" s="601"/>
      <c r="H67" s="568"/>
      <c r="I67" s="568"/>
      <c r="J67" s="602"/>
    </row>
    <row r="68" spans="2:10" ht="15.75">
      <c r="B68" s="261"/>
      <c r="C68" s="411"/>
      <c r="D68" s="411"/>
      <c r="E68" s="66"/>
      <c r="G68" s="583">
        <f>D78</f>
        <v>0</v>
      </c>
      <c r="H68" s="584" t="str">
        <f>CONCATENATE("",E1-1," Ending Cash Balance (est.)")</f>
        <v>-1 Ending Cash Balance (est.)</v>
      </c>
      <c r="I68" s="585"/>
      <c r="J68" s="602"/>
    </row>
    <row r="69" spans="2:10" ht="15.75">
      <c r="B69" s="261"/>
      <c r="C69" s="411"/>
      <c r="D69" s="411"/>
      <c r="E69" s="66"/>
      <c r="G69" s="583">
        <f>E65</f>
        <v>0</v>
      </c>
      <c r="H69" s="569" t="str">
        <f>CONCATENATE("",E1," Non-AV Receipts (est.)")</f>
        <v>0 Non-AV Receipts (est.)</v>
      </c>
      <c r="I69" s="585"/>
      <c r="J69" s="602"/>
    </row>
    <row r="70" spans="2:11" ht="15.75">
      <c r="B70" s="261"/>
      <c r="C70" s="411"/>
      <c r="D70" s="411"/>
      <c r="E70" s="66"/>
      <c r="G70" s="586">
        <f>IF(E83&gt;0,E82,E84)</f>
        <v>0</v>
      </c>
      <c r="H70" s="569" t="str">
        <f>CONCATENATE("",E1," Ad Valorem Tax (est.)")</f>
        <v>0 Ad Valorem Tax (est.)</v>
      </c>
      <c r="I70" s="585"/>
      <c r="J70" s="602"/>
      <c r="K70" s="622">
        <f>IF(G70=E84,"","Note: Does not include Delinquent Taxes")</f>
      </c>
    </row>
    <row r="71" spans="2:10" ht="15.75">
      <c r="B71" s="261"/>
      <c r="C71" s="411"/>
      <c r="D71" s="411"/>
      <c r="E71" s="66"/>
      <c r="G71" s="603">
        <f>SUM(G68:G70)</f>
        <v>0</v>
      </c>
      <c r="H71" s="569" t="str">
        <f>CONCATENATE("Total ",E1," Resources Available")</f>
        <v>Total 0 Resources Available</v>
      </c>
      <c r="I71" s="604"/>
      <c r="J71" s="602"/>
    </row>
    <row r="72" spans="2:10" ht="15.75">
      <c r="B72" s="261"/>
      <c r="C72" s="411"/>
      <c r="D72" s="411"/>
      <c r="E72" s="66"/>
      <c r="G72" s="605"/>
      <c r="H72" s="606"/>
      <c r="I72" s="568"/>
      <c r="J72" s="602"/>
    </row>
    <row r="73" spans="2:10" ht="15.75">
      <c r="B73" s="261"/>
      <c r="C73" s="411"/>
      <c r="D73" s="411"/>
      <c r="E73" s="66"/>
      <c r="G73" s="607">
        <f>ROUND(C77*0.05+C77,0)</f>
        <v>0</v>
      </c>
      <c r="H73" s="569" t="str">
        <f>CONCATENATE("Less ",E1-2," Expenditures + 5%")</f>
        <v>Less -2 Expenditures + 5%</v>
      </c>
      <c r="I73" s="604"/>
      <c r="J73" s="602"/>
    </row>
    <row r="74" spans="2:10" ht="15.75">
      <c r="B74" s="250" t="str">
        <f>CONCATENATE("Cash Forward (",E1," column)")</f>
        <v>Cash Forward (0 column)</v>
      </c>
      <c r="C74" s="411"/>
      <c r="D74" s="411"/>
      <c r="E74" s="66"/>
      <c r="G74" s="608">
        <f>G71-G73</f>
        <v>0</v>
      </c>
      <c r="H74" s="589" t="str">
        <f>CONCATENATE("Projected ",E1+1," carryover (est.)")</f>
        <v>Projected 1 carryover (est.)</v>
      </c>
      <c r="I74" s="609"/>
      <c r="J74" s="610"/>
    </row>
    <row r="75" spans="2:10" ht="15.75">
      <c r="B75" s="250" t="s">
        <v>298</v>
      </c>
      <c r="C75" s="411"/>
      <c r="D75" s="411"/>
      <c r="E75" s="66"/>
      <c r="G75" s="581"/>
      <c r="H75" s="581"/>
      <c r="I75" s="581"/>
      <c r="J75" s="581"/>
    </row>
    <row r="76" spans="2:10" ht="15.75">
      <c r="B76" s="250" t="s">
        <v>299</v>
      </c>
      <c r="C76" s="384">
        <f>IF(C77*0.1&lt;C75,"Exceed 10% Rule","")</f>
      </c>
      <c r="D76" s="384">
        <f>IF(D77*0.1&lt;D75,"Exceed 10% Rule","")</f>
      </c>
      <c r="E76" s="277">
        <f>IF(E77*0.1&lt;E75,"Exceed 10% Rule","")</f>
      </c>
      <c r="G76" s="860" t="s">
        <v>815</v>
      </c>
      <c r="H76" s="861"/>
      <c r="I76" s="861"/>
      <c r="J76" s="862"/>
    </row>
    <row r="77" spans="2:10" ht="15.75">
      <c r="B77" s="252" t="s">
        <v>63</v>
      </c>
      <c r="C77" s="388">
        <f>SUM(C68:C75)</f>
        <v>0</v>
      </c>
      <c r="D77" s="388">
        <f>SUM(D68:D75)</f>
        <v>0</v>
      </c>
      <c r="E77" s="296">
        <f>SUM(E68:E75)</f>
        <v>0</v>
      </c>
      <c r="G77" s="592"/>
      <c r="H77" s="584"/>
      <c r="I77" s="593"/>
      <c r="J77" s="594"/>
    </row>
    <row r="78" spans="2:10" ht="15.75">
      <c r="B78" s="118" t="s">
        <v>195</v>
      </c>
      <c r="C78" s="383">
        <f>C66-C77</f>
        <v>0</v>
      </c>
      <c r="D78" s="383">
        <f>D66-D77</f>
        <v>0</v>
      </c>
      <c r="E78" s="270" t="s">
        <v>35</v>
      </c>
      <c r="G78" s="595" t="str">
        <f>summ!H24</f>
        <v>  </v>
      </c>
      <c r="H78" s="584" t="str">
        <f>CONCATENATE("",E1," Fund Mill Rate")</f>
        <v>0 Fund Mill Rate</v>
      </c>
      <c r="I78" s="593"/>
      <c r="J78" s="594"/>
    </row>
    <row r="79" spans="2:10" ht="15.75">
      <c r="B79" s="146" t="str">
        <f>CONCATENATE("",E1-2,"/",E1-1,"/",E1," Budget Authority Amount:")</f>
        <v>-2/-1/0 Budget Authority Amount:</v>
      </c>
      <c r="C79" s="272">
        <f>inputOth!B39</f>
        <v>0</v>
      </c>
      <c r="D79" s="272">
        <f>inputPrYr!D25</f>
        <v>0</v>
      </c>
      <c r="E79" s="209">
        <f>E77</f>
        <v>0</v>
      </c>
      <c r="F79" s="263"/>
      <c r="G79" s="596" t="str">
        <f>summ!E24</f>
        <v>  </v>
      </c>
      <c r="H79" s="584" t="str">
        <f>CONCATENATE("",E1-1," Fund Mill Rate")</f>
        <v>-1 Fund Mill Rate</v>
      </c>
      <c r="I79" s="593"/>
      <c r="J79" s="594"/>
    </row>
    <row r="80" spans="2:10" ht="15.75">
      <c r="B80" s="231"/>
      <c r="C80" s="856" t="s">
        <v>675</v>
      </c>
      <c r="D80" s="857"/>
      <c r="E80" s="66"/>
      <c r="F80" s="423">
        <f>IF(E77/0.95-E77&lt;E80,"Exceeds 5%","")</f>
      </c>
      <c r="G80" s="597">
        <f>summ!H52</f>
        <v>0</v>
      </c>
      <c r="H80" s="584" t="str">
        <f>CONCATENATE("Total ",E1," Mill Rate")</f>
        <v>Total 0 Mill Rate</v>
      </c>
      <c r="I80" s="593"/>
      <c r="J80" s="594"/>
    </row>
    <row r="81" spans="2:10" ht="15.75">
      <c r="B81" s="417" t="str">
        <f>CONCATENATE(C94,"      ",D94)</f>
        <v>      </v>
      </c>
      <c r="C81" s="858" t="s">
        <v>676</v>
      </c>
      <c r="D81" s="859"/>
      <c r="E81" s="209">
        <f>E77+E80</f>
        <v>0</v>
      </c>
      <c r="G81" s="596">
        <f>summ!E52</f>
        <v>0</v>
      </c>
      <c r="H81" s="598" t="str">
        <f>CONCATENATE("Total ",E1-1," Mill Rate")</f>
        <v>Total -1 Mill Rate</v>
      </c>
      <c r="I81" s="599"/>
      <c r="J81" s="600"/>
    </row>
    <row r="82" spans="2:5" ht="15.75">
      <c r="B82" s="417" t="str">
        <f>CONCATENATE(C95,"      ",D95)</f>
        <v>      </v>
      </c>
      <c r="C82" s="264"/>
      <c r="D82" s="79" t="s">
        <v>64</v>
      </c>
      <c r="E82" s="70">
        <f>IF(E81-E66&gt;0,E81-E66,0)</f>
        <v>0</v>
      </c>
    </row>
    <row r="83" spans="2:10" ht="15.75">
      <c r="B83" s="79"/>
      <c r="C83" s="402" t="s">
        <v>677</v>
      </c>
      <c r="D83" s="624">
        <f>inputOth!$E$24</f>
        <v>0</v>
      </c>
      <c r="E83" s="209">
        <f>ROUND(IF(D83&gt;0,(E82*D83),0),0)</f>
        <v>0</v>
      </c>
      <c r="G83" s="741" t="s">
        <v>964</v>
      </c>
      <c r="H83" s="742"/>
      <c r="I83" s="744"/>
      <c r="J83" s="743" t="str">
        <f>cert!F62</f>
        <v>No</v>
      </c>
    </row>
    <row r="84" spans="2:10" ht="15.75">
      <c r="B84" s="45"/>
      <c r="C84" s="854" t="str">
        <f>CONCATENATE("Amount of  ",$E$1-1," Ad Valorem Tax")</f>
        <v>Amount of  -1 Ad Valorem Tax</v>
      </c>
      <c r="D84" s="855"/>
      <c r="E84" s="282">
        <f>E82+E83</f>
        <v>0</v>
      </c>
      <c r="G84" s="745" t="str">
        <f>CONCATENATE("Computed ",E1," tax levy limit amount")</f>
        <v>Computed 0 tax levy limit amount</v>
      </c>
      <c r="H84" s="746"/>
      <c r="I84" s="746"/>
      <c r="J84" s="747">
        <f>computation!J42</f>
        <v>0</v>
      </c>
    </row>
    <row r="85" spans="2:10" ht="15.75">
      <c r="B85" s="265" t="s">
        <v>115</v>
      </c>
      <c r="C85" s="709"/>
      <c r="D85" s="45"/>
      <c r="E85" s="45"/>
      <c r="G85" s="748" t="str">
        <f>CONCATENATE("Total ",E1," tax levy amount")</f>
        <v>Total 0 tax levy amount</v>
      </c>
      <c r="H85" s="749"/>
      <c r="I85" s="749"/>
      <c r="J85" s="750">
        <f>summ!G52</f>
        <v>0</v>
      </c>
    </row>
    <row r="92" spans="3:4" ht="15.75" hidden="1">
      <c r="C92" s="31">
        <f>IF(C35&gt;C37,"See Tab A","")</f>
      </c>
      <c r="D92" s="31">
        <f>IF(D35&gt;D37,"See Tab C","")</f>
      </c>
    </row>
    <row r="93" spans="3:4" ht="15.75" hidden="1">
      <c r="C93" s="31">
        <f>IF(C36&lt;0,"See Tab B","")</f>
      </c>
      <c r="D93" s="31">
        <f>IF(D36&lt;0,"See Tab D","")</f>
      </c>
    </row>
    <row r="94" spans="3:4" ht="15.75" hidden="1">
      <c r="C94" s="31">
        <f>IF(C77&gt;C79,"See Tab A","")</f>
      </c>
      <c r="D94" s="31">
        <f>IF(D77&gt;D79,"See Tab C","")</f>
      </c>
    </row>
    <row r="95" spans="3:4" ht="15.75" hidden="1">
      <c r="C95" s="31">
        <f>IF(C78&lt;0,"See Tab B","")</f>
      </c>
      <c r="D95" s="31">
        <f>IF(D78&lt;0,"See Tab D","")</f>
      </c>
    </row>
  </sheetData>
  <sheetProtection sheet="1"/>
  <mergeCells count="12">
    <mergeCell ref="G17:J17"/>
    <mergeCell ref="G24:J24"/>
    <mergeCell ref="G34:J34"/>
    <mergeCell ref="G59:J59"/>
    <mergeCell ref="G66:J66"/>
    <mergeCell ref="G76:J76"/>
    <mergeCell ref="C38:D38"/>
    <mergeCell ref="C39:D39"/>
    <mergeCell ref="C80:D80"/>
    <mergeCell ref="C81:D81"/>
    <mergeCell ref="C84:D84"/>
    <mergeCell ref="C42:D42"/>
  </mergeCells>
  <conditionalFormatting sqref="E38">
    <cfRule type="cellIs" priority="3" dxfId="351" operator="greaterThan" stopIfTrue="1">
      <formula>$E$35/0.95-$E$35</formula>
    </cfRule>
  </conditionalFormatting>
  <conditionalFormatting sqref="E80">
    <cfRule type="cellIs" priority="4" dxfId="351" operator="greaterThan" stopIfTrue="1">
      <formula>$E$77/0.95-$E$77</formula>
    </cfRule>
  </conditionalFormatting>
  <conditionalFormatting sqref="E75">
    <cfRule type="cellIs" priority="5" dxfId="351" operator="greaterThan" stopIfTrue="1">
      <formula>$E$77*0.1</formula>
    </cfRule>
  </conditionalFormatting>
  <conditionalFormatting sqref="C21">
    <cfRule type="cellIs" priority="6" dxfId="351" operator="greaterThan" stopIfTrue="1">
      <formula>$C$23*0.1</formula>
    </cfRule>
  </conditionalFormatting>
  <conditionalFormatting sqref="D21">
    <cfRule type="cellIs" priority="7" dxfId="351" operator="greaterThan" stopIfTrue="1">
      <formula>$D$23*0.1</formula>
    </cfRule>
  </conditionalFormatting>
  <conditionalFormatting sqref="E33">
    <cfRule type="cellIs" priority="8" dxfId="351" operator="greaterThan" stopIfTrue="1">
      <formula>$E$35*0.1</formula>
    </cfRule>
  </conditionalFormatting>
  <conditionalFormatting sqref="E21">
    <cfRule type="cellIs" priority="9" dxfId="351" operator="greaterThan" stopIfTrue="1">
      <formula>$E$23*0.1+E42</formula>
    </cfRule>
  </conditionalFormatting>
  <conditionalFormatting sqref="E63">
    <cfRule type="cellIs" priority="10" dxfId="351" operator="greaterThan" stopIfTrue="1">
      <formula>$E$65*0.1+E84</formula>
    </cfRule>
  </conditionalFormatting>
  <conditionalFormatting sqref="C75">
    <cfRule type="cellIs" priority="11" dxfId="2" operator="greaterThan" stopIfTrue="1">
      <formula>$C$77*0.1</formula>
    </cfRule>
  </conditionalFormatting>
  <conditionalFormatting sqref="D75">
    <cfRule type="cellIs" priority="12" dxfId="2" operator="greaterThan" stopIfTrue="1">
      <formula>$D$77*0.1</formula>
    </cfRule>
  </conditionalFormatting>
  <conditionalFormatting sqref="D63">
    <cfRule type="cellIs" priority="13" dxfId="2" operator="greaterThan" stopIfTrue="1">
      <formula>$D$65*0.1</formula>
    </cfRule>
  </conditionalFormatting>
  <conditionalFormatting sqref="C63">
    <cfRule type="cellIs" priority="14" dxfId="2" operator="greaterThan" stopIfTrue="1">
      <formula>$C$65*0.1</formula>
    </cfRule>
  </conditionalFormatting>
  <conditionalFormatting sqref="C33">
    <cfRule type="cellIs" priority="15" dxfId="2" operator="greaterThan" stopIfTrue="1">
      <formula>$C$35*0.1</formula>
    </cfRule>
  </conditionalFormatting>
  <conditionalFormatting sqref="D33">
    <cfRule type="cellIs" priority="16" dxfId="2" operator="greaterThan" stopIfTrue="1">
      <formula>$D$35*0.1</formula>
    </cfRule>
  </conditionalFormatting>
  <conditionalFormatting sqref="C35">
    <cfRule type="cellIs" priority="17" dxfId="2" operator="greaterThan" stopIfTrue="1">
      <formula>$C$37</formula>
    </cfRule>
  </conditionalFormatting>
  <conditionalFormatting sqref="D35">
    <cfRule type="cellIs" priority="18" dxfId="2" operator="greaterThan" stopIfTrue="1">
      <formula>$D$37</formula>
    </cfRule>
  </conditionalFormatting>
  <conditionalFormatting sqref="C36 C78">
    <cfRule type="cellIs" priority="19" dxfId="2" operator="lessThan" stopIfTrue="1">
      <formula>0</formula>
    </cfRule>
  </conditionalFormatting>
  <conditionalFormatting sqref="C77">
    <cfRule type="cellIs" priority="20" dxfId="2" operator="greaterThan" stopIfTrue="1">
      <formula>$C$79</formula>
    </cfRule>
  </conditionalFormatting>
  <conditionalFormatting sqref="D77">
    <cfRule type="cellIs" priority="21" dxfId="2" operator="greaterThan" stopIfTrue="1">
      <formula>$D$79</formula>
    </cfRule>
  </conditionalFormatting>
  <conditionalFormatting sqref="D36 D78">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7" r:id="rId1"/>
  <headerFooter alignWithMargins="0">
    <oddHeader>&amp;RState of Kansas
County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Q150" sqref="Q150"/>
    </sheetView>
  </sheetViews>
  <sheetFormatPr defaultColWidth="8.796875" defaultRowHeight="15"/>
  <cols>
    <col min="1" max="1" width="2.3984375" style="31" customWidth="1"/>
    <col min="2" max="2" width="31.09765625" style="31" customWidth="1"/>
    <col min="3" max="4" width="15.796875" style="31" customWidth="1"/>
    <col min="5" max="5" width="16.296875" style="31" customWidth="1"/>
    <col min="6" max="6" width="8.8984375" style="31" customWidth="1"/>
    <col min="7" max="7" width="10.19921875" style="31" customWidth="1"/>
    <col min="8" max="8" width="8.8984375" style="31" customWidth="1"/>
    <col min="9" max="9" width="5.69921875" style="31" customWidth="1"/>
    <col min="10" max="10" width="10" style="31" customWidth="1"/>
    <col min="11" max="16384" width="8.8984375" style="31" customWidth="1"/>
  </cols>
  <sheetData>
    <row r="1" spans="2:5" ht="15.75">
      <c r="B1" s="160">
        <f>(inputPrYr!C3)</f>
        <v>0</v>
      </c>
      <c r="C1" s="45"/>
      <c r="D1" s="45"/>
      <c r="E1" s="230">
        <f>inputPrYr!C5</f>
        <v>0</v>
      </c>
    </row>
    <row r="2" spans="2:5" ht="15.75">
      <c r="B2" s="169"/>
      <c r="C2" s="266"/>
      <c r="D2" s="266"/>
      <c r="E2" s="267"/>
    </row>
    <row r="3" spans="2:5" ht="15.75">
      <c r="B3" s="414" t="s">
        <v>162</v>
      </c>
      <c r="C3" s="110"/>
      <c r="D3" s="110"/>
      <c r="E3" s="110"/>
    </row>
    <row r="4" spans="2:5" ht="15.75">
      <c r="B4" s="44" t="s">
        <v>49</v>
      </c>
      <c r="C4" s="563" t="s">
        <v>811</v>
      </c>
      <c r="D4" s="564" t="s">
        <v>812</v>
      </c>
      <c r="E4" s="114" t="s">
        <v>813</v>
      </c>
    </row>
    <row r="5" spans="2:5" ht="15.75">
      <c r="B5" s="405">
        <f>inputPrYr!$B$26</f>
        <v>0</v>
      </c>
      <c r="C5" s="386" t="str">
        <f>CONCATENATE("Actual for ",E1-2,"")</f>
        <v>Actual for -2</v>
      </c>
      <c r="D5" s="386" t="str">
        <f>CONCATENATE("Estimate for ",E1-1,"")</f>
        <v>Estimate for -1</v>
      </c>
      <c r="E5" s="244" t="str">
        <f>CONCATENATE("Year for ",E1,"")</f>
        <v>Year for 0</v>
      </c>
    </row>
    <row r="6" spans="2:5" ht="15.75">
      <c r="B6" s="118" t="s">
        <v>194</v>
      </c>
      <c r="C6" s="411"/>
      <c r="D6" s="385">
        <f>C36</f>
        <v>0</v>
      </c>
      <c r="E6" s="209">
        <f>D36</f>
        <v>0</v>
      </c>
    </row>
    <row r="7" spans="2:5" ht="15.75">
      <c r="B7" s="234" t="s">
        <v>196</v>
      </c>
      <c r="C7" s="132"/>
      <c r="D7" s="132"/>
      <c r="E7" s="81"/>
    </row>
    <row r="8" spans="2:5" ht="15.75">
      <c r="B8" s="118" t="s">
        <v>50</v>
      </c>
      <c r="C8" s="411"/>
      <c r="D8" s="385">
        <f>IF(inputPrYr!H25&gt;0,inputPrYr!H25,inputPrYr!E26)</f>
        <v>0</v>
      </c>
      <c r="E8" s="270" t="s">
        <v>35</v>
      </c>
    </row>
    <row r="9" spans="2:5" ht="15.75">
      <c r="B9" s="118" t="s">
        <v>51</v>
      </c>
      <c r="C9" s="411"/>
      <c r="D9" s="411"/>
      <c r="E9" s="66"/>
    </row>
    <row r="10" spans="2:5" ht="15.75">
      <c r="B10" s="118" t="s">
        <v>52</v>
      </c>
      <c r="C10" s="411"/>
      <c r="D10" s="411"/>
      <c r="E10" s="209" t="str">
        <f>mvalloc!E19</f>
        <v>  </v>
      </c>
    </row>
    <row r="11" spans="2:5" ht="15.75">
      <c r="B11" s="118" t="s">
        <v>53</v>
      </c>
      <c r="C11" s="411"/>
      <c r="D11" s="411"/>
      <c r="E11" s="209" t="str">
        <f>mvalloc!F19</f>
        <v>  </v>
      </c>
    </row>
    <row r="12" spans="2:5" ht="15.75">
      <c r="B12" s="132" t="s">
        <v>154</v>
      </c>
      <c r="C12" s="411"/>
      <c r="D12" s="411"/>
      <c r="E12" s="209" t="str">
        <f>mvalloc!G19</f>
        <v>  </v>
      </c>
    </row>
    <row r="13" spans="2:5" ht="15.75">
      <c r="B13" s="273" t="s">
        <v>955</v>
      </c>
      <c r="C13" s="411"/>
      <c r="D13" s="411"/>
      <c r="E13" s="209" t="str">
        <f>mvalloc!H19</f>
        <v> </v>
      </c>
    </row>
    <row r="14" spans="2:5" ht="15.75">
      <c r="B14" s="273" t="s">
        <v>956</v>
      </c>
      <c r="C14" s="411"/>
      <c r="D14" s="411"/>
      <c r="E14" s="209" t="str">
        <f>mvalloc!I19</f>
        <v> </v>
      </c>
    </row>
    <row r="15" spans="2:5" ht="15.75">
      <c r="B15" s="261"/>
      <c r="C15" s="411"/>
      <c r="D15" s="411"/>
      <c r="E15" s="66"/>
    </row>
    <row r="16" spans="2:5" ht="15.75">
      <c r="B16" s="261"/>
      <c r="C16" s="411"/>
      <c r="D16" s="411"/>
      <c r="E16" s="66"/>
    </row>
    <row r="17" spans="2:10" ht="15.75">
      <c r="B17" s="261"/>
      <c r="C17" s="411"/>
      <c r="D17" s="411"/>
      <c r="E17" s="66"/>
      <c r="G17" s="863" t="str">
        <f>CONCATENATE("Desired Carryover Into ",E1+1,"")</f>
        <v>Desired Carryover Into 1</v>
      </c>
      <c r="H17" s="864"/>
      <c r="I17" s="864"/>
      <c r="J17" s="833"/>
    </row>
    <row r="18" spans="2:10" ht="15.75">
      <c r="B18" s="261"/>
      <c r="C18" s="411"/>
      <c r="D18" s="411"/>
      <c r="E18" s="66"/>
      <c r="G18" s="567"/>
      <c r="H18" s="568"/>
      <c r="I18" s="569"/>
      <c r="J18" s="570"/>
    </row>
    <row r="19" spans="2:10" ht="15.75">
      <c r="B19" s="249" t="s">
        <v>57</v>
      </c>
      <c r="C19" s="411"/>
      <c r="D19" s="411"/>
      <c r="E19" s="66"/>
      <c r="G19" s="571" t="s">
        <v>683</v>
      </c>
      <c r="H19" s="569"/>
      <c r="I19" s="569"/>
      <c r="J19" s="572">
        <v>0</v>
      </c>
    </row>
    <row r="20" spans="2:10" ht="15.75">
      <c r="B20" s="250" t="s">
        <v>297</v>
      </c>
      <c r="C20" s="411"/>
      <c r="D20" s="411"/>
      <c r="E20" s="280">
        <f>Nhood!E15*-1</f>
        <v>0</v>
      </c>
      <c r="G20" s="567" t="s">
        <v>684</v>
      </c>
      <c r="H20" s="568"/>
      <c r="I20" s="568"/>
      <c r="J20" s="573">
        <f>IF(J19=0,"",ROUND((J19+E42-G32)/inputOth!E5*1000,3)-G37)</f>
      </c>
    </row>
    <row r="21" spans="2:10" ht="15.75">
      <c r="B21" s="250" t="s">
        <v>298</v>
      </c>
      <c r="C21" s="411"/>
      <c r="D21" s="411"/>
      <c r="E21" s="66"/>
      <c r="G21" s="574" t="str">
        <f>CONCATENATE("",E1," Tot Exp/Non-Appr Must Be:")</f>
        <v>0 Tot Exp/Non-Appr Must Be:</v>
      </c>
      <c r="H21" s="575"/>
      <c r="I21" s="576"/>
      <c r="J21" s="577">
        <f>IF(J19&gt;0,IF(E39&lt;E24,IF(J19=G32,E39,((J19-G32)*(1-D41))+E24),E39+(J19-G32)),0)</f>
        <v>0</v>
      </c>
    </row>
    <row r="22" spans="2:10" ht="15.75">
      <c r="B22" s="250" t="s">
        <v>300</v>
      </c>
      <c r="C22" s="384">
        <f>IF(C23*0.1&lt;C21,"Exceed 10% Rule","")</f>
      </c>
      <c r="D22" s="384">
        <f>IF(D23*0.1&lt;D21,"Exceed 10% Rule","")</f>
      </c>
      <c r="E22" s="277">
        <f>IF(E23*0.1+E42&lt;E21,"Exceed 10% Rule","")</f>
      </c>
      <c r="G22" s="578" t="s">
        <v>814</v>
      </c>
      <c r="H22" s="579"/>
      <c r="I22" s="579"/>
      <c r="J22" s="580">
        <f>IF(J19&gt;0,J21-E39,0)</f>
        <v>0</v>
      </c>
    </row>
    <row r="23" spans="2:10" ht="15.75">
      <c r="B23" s="252" t="s">
        <v>58</v>
      </c>
      <c r="C23" s="388">
        <f>SUM(C8:C21)</f>
        <v>0</v>
      </c>
      <c r="D23" s="388">
        <f>SUM(D8:D21)</f>
        <v>0</v>
      </c>
      <c r="E23" s="296">
        <f>SUM(E8:E21)</f>
        <v>0</v>
      </c>
      <c r="G23" s="581"/>
      <c r="H23" s="581"/>
      <c r="I23" s="581"/>
      <c r="J23" s="581"/>
    </row>
    <row r="24" spans="2:10" ht="15.75">
      <c r="B24" s="252" t="s">
        <v>59</v>
      </c>
      <c r="C24" s="388">
        <f>C6+C23</f>
        <v>0</v>
      </c>
      <c r="D24" s="388">
        <f>D6+D23</f>
        <v>0</v>
      </c>
      <c r="E24" s="296">
        <f>E6+E23</f>
        <v>0</v>
      </c>
      <c r="G24" s="863" t="str">
        <f>CONCATENATE("Projected Carryover Into ",E1+1,"")</f>
        <v>Projected Carryover Into 1</v>
      </c>
      <c r="H24" s="867"/>
      <c r="I24" s="867"/>
      <c r="J24" s="868"/>
    </row>
    <row r="25" spans="2:10" ht="15.75">
      <c r="B25" s="118" t="s">
        <v>62</v>
      </c>
      <c r="C25" s="250"/>
      <c r="D25" s="250"/>
      <c r="E25" s="128"/>
      <c r="G25" s="567"/>
      <c r="H25" s="569"/>
      <c r="I25" s="569"/>
      <c r="J25" s="582"/>
    </row>
    <row r="26" spans="2:10" ht="15.75">
      <c r="B26" s="261"/>
      <c r="C26" s="411"/>
      <c r="D26" s="411"/>
      <c r="E26" s="66"/>
      <c r="G26" s="583">
        <f>D36</f>
        <v>0</v>
      </c>
      <c r="H26" s="584" t="str">
        <f>CONCATENATE("",E1-1," Ending Cash Balance (est.)")</f>
        <v>-1 Ending Cash Balance (est.)</v>
      </c>
      <c r="I26" s="585"/>
      <c r="J26" s="582"/>
    </row>
    <row r="27" spans="2:10" ht="15.75">
      <c r="B27" s="261"/>
      <c r="C27" s="411"/>
      <c r="D27" s="411"/>
      <c r="E27" s="66"/>
      <c r="G27" s="583">
        <f>E23</f>
        <v>0</v>
      </c>
      <c r="H27" s="569" t="str">
        <f>CONCATENATE("",E1," Non-AV Receipts (est.)")</f>
        <v>0 Non-AV Receipts (est.)</v>
      </c>
      <c r="I27" s="585"/>
      <c r="J27" s="582"/>
    </row>
    <row r="28" spans="2:11" ht="15.75">
      <c r="B28" s="261"/>
      <c r="C28" s="411"/>
      <c r="D28" s="411"/>
      <c r="E28" s="66"/>
      <c r="G28" s="586">
        <f>IF(E41&gt;0,E40,E42)</f>
        <v>0</v>
      </c>
      <c r="H28" s="569" t="str">
        <f>CONCATENATE("",E1," Ad Valorem Tax (est.)")</f>
        <v>0 Ad Valorem Tax (est.)</v>
      </c>
      <c r="I28" s="585"/>
      <c r="J28" s="582"/>
      <c r="K28" s="622">
        <f>IF(G28=E42,"","Note: Does not include Delinquent Taxes")</f>
      </c>
    </row>
    <row r="29" spans="2:10" ht="15.75">
      <c r="B29" s="261"/>
      <c r="C29" s="411"/>
      <c r="D29" s="411"/>
      <c r="E29" s="66"/>
      <c r="G29" s="583">
        <f>SUM(G26:G28)</f>
        <v>0</v>
      </c>
      <c r="H29" s="569" t="str">
        <f>CONCATENATE("Total ",E1," Resources Available")</f>
        <v>Total 0 Resources Available</v>
      </c>
      <c r="I29" s="585"/>
      <c r="J29" s="582"/>
    </row>
    <row r="30" spans="2:10" ht="15.75">
      <c r="B30" s="261"/>
      <c r="C30" s="411"/>
      <c r="D30" s="411"/>
      <c r="E30" s="66"/>
      <c r="G30" s="587"/>
      <c r="H30" s="569"/>
      <c r="I30" s="569"/>
      <c r="J30" s="582"/>
    </row>
    <row r="31" spans="2:10" ht="15.75">
      <c r="B31" s="261"/>
      <c r="C31" s="411"/>
      <c r="D31" s="411"/>
      <c r="E31" s="66"/>
      <c r="G31" s="586">
        <f>ROUND(C35*0.05+C35,0)</f>
        <v>0</v>
      </c>
      <c r="H31" s="569" t="str">
        <f>CONCATENATE("Less ",E1-2," Expenditures + 5%")</f>
        <v>Less -2 Expenditures + 5%</v>
      </c>
      <c r="I31" s="585"/>
      <c r="J31" s="602"/>
    </row>
    <row r="32" spans="2:10" ht="15.75">
      <c r="B32" s="250" t="str">
        <f>CONCATENATE("Cash Forward (",E1," column)")</f>
        <v>Cash Forward (0 column)</v>
      </c>
      <c r="C32" s="411"/>
      <c r="D32" s="411"/>
      <c r="E32" s="66"/>
      <c r="G32" s="588">
        <f>G29-G31</f>
        <v>0</v>
      </c>
      <c r="H32" s="589" t="str">
        <f>CONCATENATE("Projected ",E1+1," carryover (est.)")</f>
        <v>Projected 1 carryover (est.)</v>
      </c>
      <c r="I32" s="590"/>
      <c r="J32" s="591"/>
    </row>
    <row r="33" spans="2:10" ht="15.75">
      <c r="B33" s="250" t="s">
        <v>298</v>
      </c>
      <c r="C33" s="411"/>
      <c r="D33" s="411"/>
      <c r="E33" s="66"/>
      <c r="G33" s="581"/>
      <c r="H33" s="581"/>
      <c r="I33" s="581"/>
      <c r="J33" s="581"/>
    </row>
    <row r="34" spans="2:10" ht="15.75">
      <c r="B34" s="250" t="s">
        <v>299</v>
      </c>
      <c r="C34" s="384">
        <f>IF(C35*0.1&lt;C33,"Exceed 10% Rule","")</f>
      </c>
      <c r="D34" s="384">
        <f>IF(D35*0.1&lt;D33,"Exceed 10% Rule","")</f>
      </c>
      <c r="E34" s="277">
        <f>IF(E35*0.1&lt;E33,"Exceed 10% Rule","")</f>
      </c>
      <c r="G34" s="860" t="s">
        <v>815</v>
      </c>
      <c r="H34" s="861"/>
      <c r="I34" s="861"/>
      <c r="J34" s="862"/>
    </row>
    <row r="35" spans="2:10" ht="15.75">
      <c r="B35" s="252" t="s">
        <v>63</v>
      </c>
      <c r="C35" s="388">
        <f>SUM(C26:C33)</f>
        <v>0</v>
      </c>
      <c r="D35" s="388">
        <f>SUM(D26:D33)</f>
        <v>0</v>
      </c>
      <c r="E35" s="296">
        <f>SUM(E26:E33)</f>
        <v>0</v>
      </c>
      <c r="G35" s="592"/>
      <c r="H35" s="584"/>
      <c r="I35" s="593"/>
      <c r="J35" s="594"/>
    </row>
    <row r="36" spans="2:10" ht="15.75">
      <c r="B36" s="118" t="s">
        <v>195</v>
      </c>
      <c r="C36" s="383">
        <f>C24-C35</f>
        <v>0</v>
      </c>
      <c r="D36" s="383">
        <f>D24-D35</f>
        <v>0</v>
      </c>
      <c r="E36" s="270" t="s">
        <v>35</v>
      </c>
      <c r="G36" s="595" t="str">
        <f>summ!H25</f>
        <v>  </v>
      </c>
      <c r="H36" s="584" t="str">
        <f>CONCATENATE("",E1," Fund Mill Rate")</f>
        <v>0 Fund Mill Rate</v>
      </c>
      <c r="I36" s="593"/>
      <c r="J36" s="594"/>
    </row>
    <row r="37" spans="2:10" ht="15.75">
      <c r="B37" s="146" t="str">
        <f>CONCATENATE("",E1-2,"/",E1-1,"/",E1," Budget Authority Amount:")</f>
        <v>-2/-1/0 Budget Authority Amount:</v>
      </c>
      <c r="C37" s="272">
        <f>inputOth!B40</f>
        <v>0</v>
      </c>
      <c r="D37" s="272">
        <f>inputPrYr!D26</f>
        <v>0</v>
      </c>
      <c r="E37" s="209">
        <f>E35</f>
        <v>0</v>
      </c>
      <c r="F37" s="263"/>
      <c r="G37" s="596" t="str">
        <f>summ!E25</f>
        <v>  </v>
      </c>
      <c r="H37" s="584" t="str">
        <f>CONCATENATE("",E1-1," Fund Mill Rate")</f>
        <v>-1 Fund Mill Rate</v>
      </c>
      <c r="I37" s="593"/>
      <c r="J37" s="594"/>
    </row>
    <row r="38" spans="2:10" ht="15.75">
      <c r="B38" s="231"/>
      <c r="C38" s="856" t="s">
        <v>675</v>
      </c>
      <c r="D38" s="857"/>
      <c r="E38" s="66"/>
      <c r="F38" s="423">
        <f>IF(E35/0.95-E35&lt;E38,"Exceeds 5%","")</f>
      </c>
      <c r="G38" s="597">
        <f>summ!H52</f>
        <v>0</v>
      </c>
      <c r="H38" s="584" t="str">
        <f>CONCATENATE("Total ",E1," Mill Rate")</f>
        <v>Total 0 Mill Rate</v>
      </c>
      <c r="I38" s="593"/>
      <c r="J38" s="594"/>
    </row>
    <row r="39" spans="2:10" ht="15.75">
      <c r="B39" s="417" t="str">
        <f>CONCATENATE(C92,"     ",D92)</f>
        <v>     </v>
      </c>
      <c r="C39" s="858" t="s">
        <v>676</v>
      </c>
      <c r="D39" s="859"/>
      <c r="E39" s="209">
        <f>E35+E38</f>
        <v>0</v>
      </c>
      <c r="G39" s="596">
        <f>summ!E52</f>
        <v>0</v>
      </c>
      <c r="H39" s="598" t="str">
        <f>CONCATENATE("Total ",E1-1," Mill Rate")</f>
        <v>Total -1 Mill Rate</v>
      </c>
      <c r="I39" s="599"/>
      <c r="J39" s="600"/>
    </row>
    <row r="40" spans="2:10" ht="15.75">
      <c r="B40" s="417" t="str">
        <f>CONCATENATE(C93,"      ",D93)</f>
        <v>      </v>
      </c>
      <c r="C40" s="264"/>
      <c r="D40" s="79" t="s">
        <v>64</v>
      </c>
      <c r="E40" s="70">
        <f>IF(E39-E24&gt;0,E39-E24,0)</f>
        <v>0</v>
      </c>
      <c r="G40" s="581"/>
      <c r="H40" s="581"/>
      <c r="I40" s="581"/>
      <c r="J40" s="581"/>
    </row>
    <row r="41" spans="2:10" ht="15.75">
      <c r="B41" s="79"/>
      <c r="C41" s="402" t="s">
        <v>677</v>
      </c>
      <c r="D41" s="624">
        <f>inputOth!$E$24</f>
        <v>0</v>
      </c>
      <c r="E41" s="209">
        <f>ROUND(IF(D41&gt;0,(E40*D41),0),0)</f>
        <v>0</v>
      </c>
      <c r="G41" s="741" t="s">
        <v>964</v>
      </c>
      <c r="H41" s="742"/>
      <c r="I41" s="744"/>
      <c r="J41" s="743" t="str">
        <f>cert!F62</f>
        <v>No</v>
      </c>
    </row>
    <row r="42" spans="2:10" ht="15.75">
      <c r="B42" s="45"/>
      <c r="C42" s="854" t="str">
        <f>CONCATENATE("Amount of  ",$E$1-1," Ad Valorem Tax")</f>
        <v>Amount of  -1 Ad Valorem Tax</v>
      </c>
      <c r="D42" s="855"/>
      <c r="E42" s="282">
        <f>E40+E41</f>
        <v>0</v>
      </c>
      <c r="G42" s="758" t="str">
        <f>CONCATENATE("Computed ",E1," tax levy limit amount")</f>
        <v>Computed 0 tax levy limit amount</v>
      </c>
      <c r="H42" s="759"/>
      <c r="I42" s="759"/>
      <c r="J42" s="760">
        <f>computation!J42</f>
        <v>0</v>
      </c>
    </row>
    <row r="43" spans="2:10" ht="15.75">
      <c r="B43" s="45"/>
      <c r="C43" s="547"/>
      <c r="D43" s="45"/>
      <c r="E43" s="45"/>
      <c r="G43" s="761" t="str">
        <f>CONCATENATE("Total ",E1," tax levy amount")</f>
        <v>Total 0 tax levy amount</v>
      </c>
      <c r="H43" s="762"/>
      <c r="I43" s="762"/>
      <c r="J43" s="763">
        <f>summ!G52</f>
        <v>0</v>
      </c>
    </row>
    <row r="44" spans="2:10" ht="15.75">
      <c r="B44" s="45"/>
      <c r="C44" s="547"/>
      <c r="D44" s="45"/>
      <c r="E44" s="45"/>
      <c r="G44" s="581"/>
      <c r="H44" s="581"/>
      <c r="I44" s="581"/>
      <c r="J44" s="581"/>
    </row>
    <row r="45" spans="2:10" ht="15.75">
      <c r="B45" s="45"/>
      <c r="C45" s="110"/>
      <c r="D45" s="110"/>
      <c r="E45" s="110"/>
      <c r="G45" s="581"/>
      <c r="H45" s="581"/>
      <c r="I45" s="581"/>
      <c r="J45" s="581"/>
    </row>
    <row r="46" spans="2:10" ht="15.75">
      <c r="B46" s="44" t="s">
        <v>49</v>
      </c>
      <c r="C46" s="563" t="str">
        <f aca="true" t="shared" si="0" ref="C46:E47">C4</f>
        <v>Prior Year </v>
      </c>
      <c r="D46" s="564" t="str">
        <f t="shared" si="0"/>
        <v>Current Year </v>
      </c>
      <c r="E46" s="114" t="str">
        <f t="shared" si="0"/>
        <v>Proposed Budget </v>
      </c>
      <c r="G46" s="581"/>
      <c r="H46" s="581"/>
      <c r="I46" s="581"/>
      <c r="J46" s="581"/>
    </row>
    <row r="47" spans="2:10" ht="15.75">
      <c r="B47" s="405">
        <f>inputPrYr!$B$27</f>
        <v>0</v>
      </c>
      <c r="C47" s="386" t="str">
        <f t="shared" si="0"/>
        <v>Actual for -2</v>
      </c>
      <c r="D47" s="386" t="str">
        <f t="shared" si="0"/>
        <v>Estimate for -1</v>
      </c>
      <c r="E47" s="256" t="str">
        <f t="shared" si="0"/>
        <v>Year for 0</v>
      </c>
      <c r="G47" s="581"/>
      <c r="H47" s="581"/>
      <c r="I47" s="581"/>
      <c r="J47" s="581"/>
    </row>
    <row r="48" spans="2:10" ht="15.75">
      <c r="B48" s="118" t="s">
        <v>194</v>
      </c>
      <c r="C48" s="411"/>
      <c r="D48" s="385">
        <f>C78</f>
        <v>0</v>
      </c>
      <c r="E48" s="209">
        <f>D78</f>
        <v>0</v>
      </c>
      <c r="G48" s="581"/>
      <c r="H48" s="581"/>
      <c r="I48" s="581"/>
      <c r="J48" s="581"/>
    </row>
    <row r="49" spans="2:10" ht="15.75">
      <c r="B49" s="245" t="s">
        <v>196</v>
      </c>
      <c r="C49" s="132"/>
      <c r="D49" s="132"/>
      <c r="E49" s="81"/>
      <c r="G49" s="581"/>
      <c r="H49" s="581"/>
      <c r="I49" s="581"/>
      <c r="J49" s="581"/>
    </row>
    <row r="50" spans="2:10" ht="15.75">
      <c r="B50" s="118" t="s">
        <v>50</v>
      </c>
      <c r="C50" s="411"/>
      <c r="D50" s="385">
        <f>IF(inputPrYr!H26&gt;0,inputPrYr!H26,inputPrYr!E27)</f>
        <v>0</v>
      </c>
      <c r="E50" s="270" t="s">
        <v>35</v>
      </c>
      <c r="G50" s="581"/>
      <c r="H50" s="581"/>
      <c r="I50" s="581"/>
      <c r="J50" s="581"/>
    </row>
    <row r="51" spans="2:10" ht="15.75">
      <c r="B51" s="118" t="s">
        <v>51</v>
      </c>
      <c r="C51" s="411"/>
      <c r="D51" s="411"/>
      <c r="E51" s="66"/>
      <c r="G51" s="581"/>
      <c r="H51" s="581"/>
      <c r="I51" s="581"/>
      <c r="J51" s="581"/>
    </row>
    <row r="52" spans="2:10" ht="15.75">
      <c r="B52" s="118" t="s">
        <v>52</v>
      </c>
      <c r="C52" s="411"/>
      <c r="D52" s="411"/>
      <c r="E52" s="209" t="str">
        <f>mvalloc!E20</f>
        <v>  </v>
      </c>
      <c r="G52" s="581"/>
      <c r="H52" s="581"/>
      <c r="I52" s="581"/>
      <c r="J52" s="581"/>
    </row>
    <row r="53" spans="2:10" ht="15.75">
      <c r="B53" s="118" t="s">
        <v>53</v>
      </c>
      <c r="C53" s="411"/>
      <c r="D53" s="411"/>
      <c r="E53" s="209" t="str">
        <f>mvalloc!F20</f>
        <v>  </v>
      </c>
      <c r="G53" s="581"/>
      <c r="H53" s="581"/>
      <c r="I53" s="581"/>
      <c r="J53" s="581"/>
    </row>
    <row r="54" spans="2:10" ht="15.75">
      <c r="B54" s="132" t="s">
        <v>154</v>
      </c>
      <c r="C54" s="411"/>
      <c r="D54" s="411"/>
      <c r="E54" s="209" t="str">
        <f>mvalloc!G20</f>
        <v>  </v>
      </c>
      <c r="G54" s="581"/>
      <c r="H54" s="581"/>
      <c r="I54" s="581"/>
      <c r="J54" s="581"/>
    </row>
    <row r="55" spans="2:10" ht="15.75">
      <c r="B55" s="273" t="s">
        <v>955</v>
      </c>
      <c r="C55" s="411"/>
      <c r="D55" s="411"/>
      <c r="E55" s="209" t="str">
        <f>mvalloc!H20</f>
        <v> </v>
      </c>
      <c r="G55" s="581"/>
      <c r="H55" s="581"/>
      <c r="I55" s="581"/>
      <c r="J55" s="581"/>
    </row>
    <row r="56" spans="2:10" ht="15.75">
      <c r="B56" s="273" t="s">
        <v>956</v>
      </c>
      <c r="C56" s="411"/>
      <c r="D56" s="411"/>
      <c r="E56" s="209" t="str">
        <f>mvalloc!I20</f>
        <v> </v>
      </c>
      <c r="G56" s="581"/>
      <c r="H56" s="581"/>
      <c r="I56" s="581"/>
      <c r="J56" s="581"/>
    </row>
    <row r="57" spans="2:10" ht="15.75">
      <c r="B57" s="261"/>
      <c r="C57" s="411"/>
      <c r="D57" s="411"/>
      <c r="E57" s="66"/>
      <c r="G57" s="581"/>
      <c r="H57" s="581"/>
      <c r="I57" s="581"/>
      <c r="J57" s="581"/>
    </row>
    <row r="58" spans="2:10" ht="15.75">
      <c r="B58" s="261"/>
      <c r="C58" s="411"/>
      <c r="D58" s="411"/>
      <c r="E58" s="66"/>
      <c r="G58" s="581"/>
      <c r="H58" s="581"/>
      <c r="I58" s="581"/>
      <c r="J58" s="581"/>
    </row>
    <row r="59" spans="2:10" ht="15.75">
      <c r="B59" s="261"/>
      <c r="C59" s="411"/>
      <c r="D59" s="411"/>
      <c r="E59" s="66"/>
      <c r="G59" s="863" t="str">
        <f>CONCATENATE("Desired Carryover Into ",E1+1,"")</f>
        <v>Desired Carryover Into 1</v>
      </c>
      <c r="H59" s="864"/>
      <c r="I59" s="864"/>
      <c r="J59" s="833"/>
    </row>
    <row r="60" spans="2:10" ht="15.75">
      <c r="B60" s="261"/>
      <c r="C60" s="411"/>
      <c r="D60" s="411"/>
      <c r="E60" s="66"/>
      <c r="G60" s="567"/>
      <c r="H60" s="568"/>
      <c r="I60" s="569"/>
      <c r="J60" s="570"/>
    </row>
    <row r="61" spans="2:10" ht="15.75">
      <c r="B61" s="249" t="s">
        <v>57</v>
      </c>
      <c r="C61" s="411"/>
      <c r="D61" s="411"/>
      <c r="E61" s="66"/>
      <c r="G61" s="571" t="s">
        <v>683</v>
      </c>
      <c r="H61" s="569"/>
      <c r="I61" s="569"/>
      <c r="J61" s="572">
        <v>0</v>
      </c>
    </row>
    <row r="62" spans="2:10" ht="15.75">
      <c r="B62" s="250" t="s">
        <v>297</v>
      </c>
      <c r="C62" s="411"/>
      <c r="D62" s="411"/>
      <c r="E62" s="280">
        <f>Nhood!E16*-1</f>
        <v>0</v>
      </c>
      <c r="G62" s="567" t="s">
        <v>684</v>
      </c>
      <c r="H62" s="568"/>
      <c r="I62" s="568"/>
      <c r="J62" s="573">
        <f>IF(J61=0,"",ROUND((J61+E84-G74)/inputOth!E5*1000,3)-G79)</f>
      </c>
    </row>
    <row r="63" spans="2:10" ht="15.75">
      <c r="B63" s="250" t="s">
        <v>298</v>
      </c>
      <c r="C63" s="411"/>
      <c r="D63" s="411"/>
      <c r="E63" s="66"/>
      <c r="G63" s="574" t="str">
        <f>CONCATENATE("",E1," Tot Exp/Non-Appr Must Be:")</f>
        <v>0 Tot Exp/Non-Appr Must Be:</v>
      </c>
      <c r="H63" s="575"/>
      <c r="I63" s="576"/>
      <c r="J63" s="577">
        <f>IF(J61&gt;0,IF(E81&lt;E66,IF(J61=G74,E81,((J61-G74)*(1-D83))+E66),E81+(J61-G74)),0)</f>
        <v>0</v>
      </c>
    </row>
    <row r="64" spans="2:10" ht="15.75">
      <c r="B64" s="250" t="s">
        <v>300</v>
      </c>
      <c r="C64" s="384">
        <f>IF(C65*0.1&lt;C63,"Exceed 10% Rule","")</f>
      </c>
      <c r="D64" s="384">
        <f>IF(D65*0.1&lt;D63,"Exceed 10% Rule","")</f>
      </c>
      <c r="E64" s="277">
        <f>IF(E65*0.1+E84&lt;E63,"Exceed 10% Rule","")</f>
      </c>
      <c r="G64" s="578" t="s">
        <v>814</v>
      </c>
      <c r="H64" s="579"/>
      <c r="I64" s="579"/>
      <c r="J64" s="580">
        <f>IF(J61&gt;0,J63-E81,0)</f>
        <v>0</v>
      </c>
    </row>
    <row r="65" spans="2:10" ht="15.75">
      <c r="B65" s="252" t="s">
        <v>58</v>
      </c>
      <c r="C65" s="388">
        <f>SUM(C50:C63)</f>
        <v>0</v>
      </c>
      <c r="D65" s="388">
        <f>SUM(D50:D63)</f>
        <v>0</v>
      </c>
      <c r="E65" s="296">
        <f>SUM(E50:E63)</f>
        <v>0</v>
      </c>
      <c r="G65" s="581"/>
      <c r="H65" s="581"/>
      <c r="I65" s="581"/>
      <c r="J65" s="581"/>
    </row>
    <row r="66" spans="2:10" ht="15.75">
      <c r="B66" s="252" t="s">
        <v>59</v>
      </c>
      <c r="C66" s="388">
        <f>C48+C65</f>
        <v>0</v>
      </c>
      <c r="D66" s="388">
        <f>D48+D65</f>
        <v>0</v>
      </c>
      <c r="E66" s="296">
        <f>E48+E65</f>
        <v>0</v>
      </c>
      <c r="G66" s="863" t="str">
        <f>CONCATENATE("Projected Carryover Into ",E1+1,"")</f>
        <v>Projected Carryover Into 1</v>
      </c>
      <c r="H66" s="869"/>
      <c r="I66" s="869"/>
      <c r="J66" s="868"/>
    </row>
    <row r="67" spans="2:10" ht="15.75">
      <c r="B67" s="118" t="s">
        <v>62</v>
      </c>
      <c r="C67" s="250"/>
      <c r="D67" s="250"/>
      <c r="E67" s="128"/>
      <c r="G67" s="601"/>
      <c r="H67" s="568"/>
      <c r="I67" s="568"/>
      <c r="J67" s="602"/>
    </row>
    <row r="68" spans="2:10" ht="15.75">
      <c r="B68" s="261"/>
      <c r="C68" s="411"/>
      <c r="D68" s="411"/>
      <c r="E68" s="66"/>
      <c r="G68" s="583">
        <f>D78</f>
        <v>0</v>
      </c>
      <c r="H68" s="584" t="str">
        <f>CONCATENATE("",E1-1," Ending Cash Balance (est.)")</f>
        <v>-1 Ending Cash Balance (est.)</v>
      </c>
      <c r="I68" s="585"/>
      <c r="J68" s="602"/>
    </row>
    <row r="69" spans="2:10" ht="15.75">
      <c r="B69" s="261"/>
      <c r="C69" s="411"/>
      <c r="D69" s="411"/>
      <c r="E69" s="66"/>
      <c r="G69" s="583">
        <f>E65</f>
        <v>0</v>
      </c>
      <c r="H69" s="569" t="str">
        <f>CONCATENATE("",E1," Non-AV Receipts (est.)")</f>
        <v>0 Non-AV Receipts (est.)</v>
      </c>
      <c r="I69" s="585"/>
      <c r="J69" s="602"/>
    </row>
    <row r="70" spans="2:11" ht="15.75">
      <c r="B70" s="261"/>
      <c r="C70" s="411"/>
      <c r="D70" s="411"/>
      <c r="E70" s="66"/>
      <c r="G70" s="586">
        <f>IF(E83&gt;0,E82,E84)</f>
        <v>0</v>
      </c>
      <c r="H70" s="569" t="str">
        <f>CONCATENATE("",E1," Ad Valorem Tax (est.)")</f>
        <v>0 Ad Valorem Tax (est.)</v>
      </c>
      <c r="I70" s="585"/>
      <c r="J70" s="602"/>
      <c r="K70" s="622">
        <f>IF(G70=E84,"","Note: Does not include Delinquent Taxes")</f>
      </c>
    </row>
    <row r="71" spans="2:10" ht="15.75">
      <c r="B71" s="261"/>
      <c r="C71" s="411"/>
      <c r="D71" s="411"/>
      <c r="E71" s="66"/>
      <c r="G71" s="603">
        <f>SUM(G68:G70)</f>
        <v>0</v>
      </c>
      <c r="H71" s="569" t="str">
        <f>CONCATENATE("Total ",E1," Resources Available")</f>
        <v>Total 0 Resources Available</v>
      </c>
      <c r="I71" s="604"/>
      <c r="J71" s="602"/>
    </row>
    <row r="72" spans="2:10" ht="15.75">
      <c r="B72" s="261"/>
      <c r="C72" s="411"/>
      <c r="D72" s="411"/>
      <c r="E72" s="66"/>
      <c r="G72" s="605"/>
      <c r="H72" s="606"/>
      <c r="I72" s="568"/>
      <c r="J72" s="602"/>
    </row>
    <row r="73" spans="2:10" ht="15.75">
      <c r="B73" s="261"/>
      <c r="C73" s="411"/>
      <c r="D73" s="411"/>
      <c r="E73" s="66"/>
      <c r="G73" s="607">
        <f>ROUND(C77*0.05+C77,0)</f>
        <v>0</v>
      </c>
      <c r="H73" s="569" t="str">
        <f>CONCATENATE("Less ",E1-2," Expenditures + 5%")</f>
        <v>Less -2 Expenditures + 5%</v>
      </c>
      <c r="I73" s="604"/>
      <c r="J73" s="602"/>
    </row>
    <row r="74" spans="2:10" ht="15.75">
      <c r="B74" s="250" t="str">
        <f>CONCATENATE("Cash Forward (",E1," column)")</f>
        <v>Cash Forward (0 column)</v>
      </c>
      <c r="C74" s="411"/>
      <c r="D74" s="411"/>
      <c r="E74" s="66"/>
      <c r="G74" s="608">
        <f>G71-G73</f>
        <v>0</v>
      </c>
      <c r="H74" s="589" t="str">
        <f>CONCATENATE("Projected ",E1+1," carryover (est.)")</f>
        <v>Projected 1 carryover (est.)</v>
      </c>
      <c r="I74" s="609"/>
      <c r="J74" s="610"/>
    </row>
    <row r="75" spans="2:10" ht="15.75">
      <c r="B75" s="250" t="s">
        <v>298</v>
      </c>
      <c r="C75" s="411"/>
      <c r="D75" s="411"/>
      <c r="E75" s="66"/>
      <c r="G75" s="581"/>
      <c r="H75" s="581"/>
      <c r="I75" s="581"/>
      <c r="J75" s="581"/>
    </row>
    <row r="76" spans="2:10" ht="15.75">
      <c r="B76" s="250" t="s">
        <v>299</v>
      </c>
      <c r="C76" s="384">
        <f>IF(C77*0.1&lt;C75,"Exceed 10% Rule","")</f>
      </c>
      <c r="D76" s="384">
        <f>IF(D77*0.1&lt;D75,"Exceed 10% Rule","")</f>
      </c>
      <c r="E76" s="277">
        <f>IF(E77*0.1&lt;E75,"Exceed 10% Rule","")</f>
      </c>
      <c r="G76" s="860" t="s">
        <v>815</v>
      </c>
      <c r="H76" s="861"/>
      <c r="I76" s="861"/>
      <c r="J76" s="862"/>
    </row>
    <row r="77" spans="2:10" ht="15.75">
      <c r="B77" s="252" t="s">
        <v>63</v>
      </c>
      <c r="C77" s="388">
        <f>SUM(C68:C75)</f>
        <v>0</v>
      </c>
      <c r="D77" s="388">
        <f>SUM(D68:D75)</f>
        <v>0</v>
      </c>
      <c r="E77" s="296">
        <f>SUM(E68:E75)</f>
        <v>0</v>
      </c>
      <c r="G77" s="592"/>
      <c r="H77" s="584"/>
      <c r="I77" s="593"/>
      <c r="J77" s="594"/>
    </row>
    <row r="78" spans="2:10" ht="15.75">
      <c r="B78" s="118" t="s">
        <v>195</v>
      </c>
      <c r="C78" s="383">
        <f>C66-C77</f>
        <v>0</v>
      </c>
      <c r="D78" s="383">
        <f>D66-D77</f>
        <v>0</v>
      </c>
      <c r="E78" s="270" t="s">
        <v>35</v>
      </c>
      <c r="G78" s="595" t="str">
        <f>summ!H26</f>
        <v>  </v>
      </c>
      <c r="H78" s="584" t="str">
        <f>CONCATENATE("",E1," Fund Mill Rate")</f>
        <v>0 Fund Mill Rate</v>
      </c>
      <c r="I78" s="593"/>
      <c r="J78" s="594"/>
    </row>
    <row r="79" spans="2:10" ht="15.75">
      <c r="B79" s="146" t="str">
        <f>CONCATENATE("",E1-2,"/",E1-1,"/",E1," Budget Authority Amount:")</f>
        <v>-2/-1/0 Budget Authority Amount:</v>
      </c>
      <c r="C79" s="272">
        <f>inputOth!B41</f>
        <v>0</v>
      </c>
      <c r="D79" s="272">
        <f>inputPrYr!D27</f>
        <v>0</v>
      </c>
      <c r="E79" s="209">
        <f>E77</f>
        <v>0</v>
      </c>
      <c r="F79" s="263"/>
      <c r="G79" s="596" t="str">
        <f>summ!E26</f>
        <v>  </v>
      </c>
      <c r="H79" s="584" t="str">
        <f>CONCATENATE("",E1-1," Fund Mill Rate")</f>
        <v>-1 Fund Mill Rate</v>
      </c>
      <c r="I79" s="593"/>
      <c r="J79" s="594"/>
    </row>
    <row r="80" spans="2:10" ht="15.75">
      <c r="B80" s="231"/>
      <c r="C80" s="856" t="s">
        <v>675</v>
      </c>
      <c r="D80" s="857"/>
      <c r="E80" s="66"/>
      <c r="F80" s="423">
        <f>IF(E77/0.95-E77&lt;E80,"Exceeds 5%","")</f>
      </c>
      <c r="G80" s="597">
        <f>summ!H52</f>
        <v>0</v>
      </c>
      <c r="H80" s="584" t="str">
        <f>CONCATENATE("Total ",E1," Mill Rate")</f>
        <v>Total 0 Mill Rate</v>
      </c>
      <c r="I80" s="593"/>
      <c r="J80" s="594"/>
    </row>
    <row r="81" spans="2:10" ht="15.75">
      <c r="B81" s="417" t="str">
        <f>CONCATENATE(C94,"      ",D94)</f>
        <v>      </v>
      </c>
      <c r="C81" s="858" t="s">
        <v>676</v>
      </c>
      <c r="D81" s="859"/>
      <c r="E81" s="209">
        <f>E77+E80</f>
        <v>0</v>
      </c>
      <c r="G81" s="596">
        <f>summ!E52</f>
        <v>0</v>
      </c>
      <c r="H81" s="598" t="str">
        <f>CONCATENATE("Total ",E1-1," Mill Rate")</f>
        <v>Total -1 Mill Rate</v>
      </c>
      <c r="I81" s="599"/>
      <c r="J81" s="600"/>
    </row>
    <row r="82" spans="2:5" ht="15.75">
      <c r="B82" s="417" t="str">
        <f>CONCATENATE(C95,"      ",D95)</f>
        <v>      </v>
      </c>
      <c r="C82" s="264"/>
      <c r="D82" s="79" t="s">
        <v>64</v>
      </c>
      <c r="E82" s="70">
        <f>IF(E81-E66&gt;0,E81-E66,0)</f>
        <v>0</v>
      </c>
    </row>
    <row r="83" spans="2:10" ht="15.75">
      <c r="B83" s="79"/>
      <c r="C83" s="402" t="s">
        <v>677</v>
      </c>
      <c r="D83" s="624">
        <f>inputOth!$E$24</f>
        <v>0</v>
      </c>
      <c r="E83" s="209">
        <f>ROUND(IF(D83&gt;0,(E82*D83),0),0)</f>
        <v>0</v>
      </c>
      <c r="G83" s="741" t="s">
        <v>964</v>
      </c>
      <c r="H83" s="742"/>
      <c r="I83" s="744"/>
      <c r="J83" s="743" t="str">
        <f>cert!F62</f>
        <v>No</v>
      </c>
    </row>
    <row r="84" spans="2:10" ht="15.75">
      <c r="B84" s="45"/>
      <c r="C84" s="854" t="str">
        <f>CONCATENATE("Amount of  ",$E$1-1," Ad Valorem Tax")</f>
        <v>Amount of  -1 Ad Valorem Tax</v>
      </c>
      <c r="D84" s="855"/>
      <c r="E84" s="282">
        <f>E82+E83</f>
        <v>0</v>
      </c>
      <c r="G84" s="745" t="str">
        <f>CONCATENATE("Computed ",E1," tax levy limit amount")</f>
        <v>Computed 0 tax levy limit amount</v>
      </c>
      <c r="H84" s="746"/>
      <c r="I84" s="746"/>
      <c r="J84" s="747">
        <f>computation!J42</f>
        <v>0</v>
      </c>
    </row>
    <row r="85" spans="2:10" ht="15.75">
      <c r="B85" s="265" t="s">
        <v>115</v>
      </c>
      <c r="C85" s="709"/>
      <c r="D85" s="45"/>
      <c r="E85" s="45"/>
      <c r="G85" s="748" t="str">
        <f>CONCATENATE("Total ",E1," tax levy amount")</f>
        <v>Total 0 tax levy amount</v>
      </c>
      <c r="H85" s="749"/>
      <c r="I85" s="749"/>
      <c r="J85" s="750">
        <f>summ!G52</f>
        <v>0</v>
      </c>
    </row>
    <row r="92" spans="3:4" ht="15.75" hidden="1">
      <c r="C92" s="31">
        <f>IF(C35&gt;C37,"See Tab A","")</f>
      </c>
      <c r="D92" s="31">
        <f>IF(D35&gt;D37,"See Tab C","")</f>
      </c>
    </row>
    <row r="93" spans="3:4" ht="15.75" hidden="1">
      <c r="C93" s="31">
        <f>IF(C36&lt;0,"See Tab B","")</f>
      </c>
      <c r="D93" s="31">
        <f>IF(D36&lt;0,"See Tab D","")</f>
      </c>
    </row>
    <row r="94" spans="3:4" ht="15.75" hidden="1">
      <c r="C94" s="31">
        <f>IF(C77&gt;C79,"See Tab A","")</f>
      </c>
      <c r="D94" s="31">
        <f>IF(D77&gt;D79,"See Tab C","")</f>
      </c>
    </row>
    <row r="95" spans="3:4" ht="15.75" hidden="1">
      <c r="C95" s="31">
        <f>IF(C78&lt;0,"See Tab B","")</f>
      </c>
      <c r="D95" s="31">
        <f>IF(D78&lt;0,"See Tab D","")</f>
      </c>
    </row>
  </sheetData>
  <sheetProtection sheet="1"/>
  <mergeCells count="12">
    <mergeCell ref="G17:J17"/>
    <mergeCell ref="G24:J24"/>
    <mergeCell ref="G34:J34"/>
    <mergeCell ref="G59:J59"/>
    <mergeCell ref="G66:J66"/>
    <mergeCell ref="G76:J76"/>
    <mergeCell ref="C38:D38"/>
    <mergeCell ref="C39:D39"/>
    <mergeCell ref="C80:D80"/>
    <mergeCell ref="C81:D81"/>
    <mergeCell ref="C84:D84"/>
    <mergeCell ref="C42:D42"/>
  </mergeCells>
  <conditionalFormatting sqref="E38">
    <cfRule type="cellIs" priority="3" dxfId="351" operator="greaterThan" stopIfTrue="1">
      <formula>$E$35/0.95-$E$35</formula>
    </cfRule>
  </conditionalFormatting>
  <conditionalFormatting sqref="E80">
    <cfRule type="cellIs" priority="4" dxfId="351" operator="greaterThan" stopIfTrue="1">
      <formula>$E$77/0.95-$E$77</formula>
    </cfRule>
  </conditionalFormatting>
  <conditionalFormatting sqref="E75">
    <cfRule type="cellIs" priority="5" dxfId="351" operator="greaterThan" stopIfTrue="1">
      <formula>$E$77*0.1</formula>
    </cfRule>
  </conditionalFormatting>
  <conditionalFormatting sqref="C21">
    <cfRule type="cellIs" priority="6" dxfId="351" operator="greaterThan" stopIfTrue="1">
      <formula>$C$23*0.1</formula>
    </cfRule>
  </conditionalFormatting>
  <conditionalFormatting sqref="D21">
    <cfRule type="cellIs" priority="7" dxfId="351" operator="greaterThan" stopIfTrue="1">
      <formula>$D$23*0.1</formula>
    </cfRule>
  </conditionalFormatting>
  <conditionalFormatting sqref="E33">
    <cfRule type="cellIs" priority="8" dxfId="351" operator="greaterThan" stopIfTrue="1">
      <formula>$E$35*0.1</formula>
    </cfRule>
  </conditionalFormatting>
  <conditionalFormatting sqref="E21">
    <cfRule type="cellIs" priority="9" dxfId="351" operator="greaterThan" stopIfTrue="1">
      <formula>$E$23*0.1+E42</formula>
    </cfRule>
  </conditionalFormatting>
  <conditionalFormatting sqref="E63">
    <cfRule type="cellIs" priority="10" dxfId="351" operator="greaterThan" stopIfTrue="1">
      <formula>$E$65*0.1+E84</formula>
    </cfRule>
  </conditionalFormatting>
  <conditionalFormatting sqref="C75">
    <cfRule type="cellIs" priority="11" dxfId="2" operator="greaterThan" stopIfTrue="1">
      <formula>$C$77*0.1</formula>
    </cfRule>
  </conditionalFormatting>
  <conditionalFormatting sqref="D75">
    <cfRule type="cellIs" priority="12" dxfId="2" operator="greaterThan" stopIfTrue="1">
      <formula>$D$77*0.1</formula>
    </cfRule>
  </conditionalFormatting>
  <conditionalFormatting sqref="D63">
    <cfRule type="cellIs" priority="13" dxfId="2" operator="greaterThan" stopIfTrue="1">
      <formula>$D$65*0.1</formula>
    </cfRule>
  </conditionalFormatting>
  <conditionalFormatting sqref="C63">
    <cfRule type="cellIs" priority="14" dxfId="2" operator="greaterThan" stopIfTrue="1">
      <formula>$C$65*0.1</formula>
    </cfRule>
  </conditionalFormatting>
  <conditionalFormatting sqref="C33">
    <cfRule type="cellIs" priority="15" dxfId="2" operator="greaterThan" stopIfTrue="1">
      <formula>$C$35*0.1</formula>
    </cfRule>
  </conditionalFormatting>
  <conditionalFormatting sqref="D33">
    <cfRule type="cellIs" priority="16" dxfId="2" operator="greaterThan" stopIfTrue="1">
      <formula>$D$35*0.1</formula>
    </cfRule>
  </conditionalFormatting>
  <conditionalFormatting sqref="C35">
    <cfRule type="cellIs" priority="17" dxfId="2" operator="greaterThan" stopIfTrue="1">
      <formula>$C$37</formula>
    </cfRule>
  </conditionalFormatting>
  <conditionalFormatting sqref="D35">
    <cfRule type="cellIs" priority="18" dxfId="2" operator="greaterThan" stopIfTrue="1">
      <formula>$D$37</formula>
    </cfRule>
  </conditionalFormatting>
  <conditionalFormatting sqref="C36 C78">
    <cfRule type="cellIs" priority="19" dxfId="2" operator="lessThan" stopIfTrue="1">
      <formula>0</formula>
    </cfRule>
  </conditionalFormatting>
  <conditionalFormatting sqref="C77">
    <cfRule type="cellIs" priority="20" dxfId="2" operator="greaterThan" stopIfTrue="1">
      <formula>$C$79</formula>
    </cfRule>
  </conditionalFormatting>
  <conditionalFormatting sqref="D77">
    <cfRule type="cellIs" priority="21" dxfId="2" operator="greaterThan" stopIfTrue="1">
      <formula>$D$79</formula>
    </cfRule>
  </conditionalFormatting>
  <conditionalFormatting sqref="D36 D78">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7" r:id="rId1"/>
  <headerFooter alignWithMargins="0">
    <oddHeader>&amp;RState of Kansas
County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Q145" sqref="Q145"/>
    </sheetView>
  </sheetViews>
  <sheetFormatPr defaultColWidth="8.796875" defaultRowHeight="15"/>
  <cols>
    <col min="1" max="1" width="2.3984375" style="31" customWidth="1"/>
    <col min="2" max="2" width="31.09765625" style="31" customWidth="1"/>
    <col min="3" max="4" width="15.796875" style="31" customWidth="1"/>
    <col min="5" max="5" width="16.19921875" style="31" customWidth="1"/>
    <col min="6" max="6" width="8.8984375" style="31" customWidth="1"/>
    <col min="7" max="7" width="10.19921875" style="31" customWidth="1"/>
    <col min="8" max="8" width="8.8984375" style="31" customWidth="1"/>
    <col min="9" max="9" width="5.59765625" style="31" customWidth="1"/>
    <col min="10" max="10" width="10" style="31" customWidth="1"/>
    <col min="11" max="16384" width="8.8984375" style="31" customWidth="1"/>
  </cols>
  <sheetData>
    <row r="1" spans="2:5" ht="15.75">
      <c r="B1" s="160">
        <f>(inputPrYr!C3)</f>
        <v>0</v>
      </c>
      <c r="C1" s="45"/>
      <c r="D1" s="45"/>
      <c r="E1" s="230">
        <f>inputPrYr!C5</f>
        <v>0</v>
      </c>
    </row>
    <row r="2" spans="2:5" ht="15.75">
      <c r="B2" s="169"/>
      <c r="C2" s="266"/>
      <c r="D2" s="266"/>
      <c r="E2" s="267"/>
    </row>
    <row r="3" spans="2:5" ht="15.75">
      <c r="B3" s="414" t="s">
        <v>162</v>
      </c>
      <c r="C3" s="110"/>
      <c r="D3" s="110"/>
      <c r="E3" s="110"/>
    </row>
    <row r="4" spans="2:5" ht="15.75">
      <c r="B4" s="44" t="s">
        <v>49</v>
      </c>
      <c r="C4" s="563" t="s">
        <v>811</v>
      </c>
      <c r="D4" s="564" t="s">
        <v>812</v>
      </c>
      <c r="E4" s="114" t="s">
        <v>813</v>
      </c>
    </row>
    <row r="5" spans="2:5" ht="15.75">
      <c r="B5" s="405">
        <f>inputPrYr!$B$28</f>
        <v>0</v>
      </c>
      <c r="C5" s="386" t="str">
        <f>CONCATENATE("Actual for ",E1-2,"")</f>
        <v>Actual for -2</v>
      </c>
      <c r="D5" s="386" t="str">
        <f>CONCATENATE("Estimate for ",E1-1,"")</f>
        <v>Estimate for -1</v>
      </c>
      <c r="E5" s="244" t="str">
        <f>CONCATENATE("Year for ",E1,"")</f>
        <v>Year for 0</v>
      </c>
    </row>
    <row r="6" spans="2:5" ht="15.75">
      <c r="B6" s="118" t="s">
        <v>194</v>
      </c>
      <c r="C6" s="411"/>
      <c r="D6" s="385">
        <f>C36</f>
        <v>0</v>
      </c>
      <c r="E6" s="209">
        <f>D36</f>
        <v>0</v>
      </c>
    </row>
    <row r="7" spans="2:5" ht="15.75">
      <c r="B7" s="234" t="s">
        <v>196</v>
      </c>
      <c r="C7" s="132"/>
      <c r="D7" s="132"/>
      <c r="E7" s="81"/>
    </row>
    <row r="8" spans="2:5" ht="15.75">
      <c r="B8" s="118" t="s">
        <v>50</v>
      </c>
      <c r="C8" s="411"/>
      <c r="D8" s="385">
        <f>IF(inputPrYr!H27&gt;0,inputPrYr!H27,inputPrYr!E28)</f>
        <v>0</v>
      </c>
      <c r="E8" s="270" t="s">
        <v>35</v>
      </c>
    </row>
    <row r="9" spans="2:5" ht="15.75">
      <c r="B9" s="118" t="s">
        <v>51</v>
      </c>
      <c r="C9" s="411"/>
      <c r="D9" s="411"/>
      <c r="E9" s="66"/>
    </row>
    <row r="10" spans="2:5" ht="15.75">
      <c r="B10" s="118" t="s">
        <v>52</v>
      </c>
      <c r="C10" s="411"/>
      <c r="D10" s="411"/>
      <c r="E10" s="209" t="str">
        <f>mvalloc!E21</f>
        <v>  </v>
      </c>
    </row>
    <row r="11" spans="2:5" ht="15.75">
      <c r="B11" s="118" t="s">
        <v>53</v>
      </c>
      <c r="C11" s="411"/>
      <c r="D11" s="411"/>
      <c r="E11" s="209" t="str">
        <f>mvalloc!F21</f>
        <v>  </v>
      </c>
    </row>
    <row r="12" spans="2:5" ht="15.75">
      <c r="B12" s="132" t="s">
        <v>154</v>
      </c>
      <c r="C12" s="411"/>
      <c r="D12" s="411"/>
      <c r="E12" s="209" t="str">
        <f>mvalloc!G21</f>
        <v>  </v>
      </c>
    </row>
    <row r="13" spans="2:5" ht="15.75">
      <c r="B13" s="273" t="s">
        <v>955</v>
      </c>
      <c r="C13" s="411"/>
      <c r="D13" s="411"/>
      <c r="E13" s="209" t="str">
        <f>mvalloc!H21</f>
        <v> </v>
      </c>
    </row>
    <row r="14" spans="2:5" ht="15.75">
      <c r="B14" s="273" t="s">
        <v>956</v>
      </c>
      <c r="C14" s="411"/>
      <c r="D14" s="411"/>
      <c r="E14" s="209" t="str">
        <f>mvalloc!I21</f>
        <v> </v>
      </c>
    </row>
    <row r="15" spans="2:5" ht="15.75">
      <c r="B15" s="261"/>
      <c r="C15" s="411"/>
      <c r="D15" s="411"/>
      <c r="E15" s="66"/>
    </row>
    <row r="16" spans="2:5" ht="15.75">
      <c r="B16" s="261"/>
      <c r="C16" s="411"/>
      <c r="D16" s="411"/>
      <c r="E16" s="66"/>
    </row>
    <row r="17" spans="2:10" ht="15.75">
      <c r="B17" s="261"/>
      <c r="C17" s="411"/>
      <c r="D17" s="411"/>
      <c r="E17" s="66"/>
      <c r="G17" s="863" t="str">
        <f>CONCATENATE("Desired Carryover Into ",E1+1,"")</f>
        <v>Desired Carryover Into 1</v>
      </c>
      <c r="H17" s="864"/>
      <c r="I17" s="864"/>
      <c r="J17" s="833"/>
    </row>
    <row r="18" spans="2:10" ht="15.75">
      <c r="B18" s="261"/>
      <c r="C18" s="411"/>
      <c r="D18" s="411"/>
      <c r="E18" s="66"/>
      <c r="G18" s="567"/>
      <c r="H18" s="568"/>
      <c r="I18" s="569"/>
      <c r="J18" s="570"/>
    </row>
    <row r="19" spans="2:10" ht="15.75">
      <c r="B19" s="249" t="s">
        <v>57</v>
      </c>
      <c r="C19" s="411"/>
      <c r="D19" s="411"/>
      <c r="E19" s="66"/>
      <c r="G19" s="571" t="s">
        <v>683</v>
      </c>
      <c r="H19" s="569"/>
      <c r="I19" s="569"/>
      <c r="J19" s="572">
        <v>0</v>
      </c>
    </row>
    <row r="20" spans="2:10" ht="15.75">
      <c r="B20" s="250" t="s">
        <v>297</v>
      </c>
      <c r="C20" s="411"/>
      <c r="D20" s="411"/>
      <c r="E20" s="280">
        <f>Nhood!E17*-1</f>
        <v>0</v>
      </c>
      <c r="G20" s="567" t="s">
        <v>684</v>
      </c>
      <c r="H20" s="568"/>
      <c r="I20" s="568"/>
      <c r="J20" s="573">
        <f>IF(J19=0,"",ROUND((J19+E42-G32)/inputOth!E5*1000,3)-G37)</f>
      </c>
    </row>
    <row r="21" spans="2:10" ht="15.75">
      <c r="B21" s="250" t="s">
        <v>298</v>
      </c>
      <c r="C21" s="411"/>
      <c r="D21" s="411"/>
      <c r="E21" s="66"/>
      <c r="G21" s="574" t="str">
        <f>CONCATENATE("",E1," Tot Exp/Non-Appr Must Be:")</f>
        <v>0 Tot Exp/Non-Appr Must Be:</v>
      </c>
      <c r="H21" s="575"/>
      <c r="I21" s="576"/>
      <c r="J21" s="577">
        <f>IF(J19&gt;0,IF(E39&lt;E24,IF(J19=G32,E39,((J19-G32)*(1-D41))+E24),E39+(J19-G32)),0)</f>
        <v>0</v>
      </c>
    </row>
    <row r="22" spans="2:10" ht="15.75">
      <c r="B22" s="250" t="s">
        <v>300</v>
      </c>
      <c r="C22" s="384">
        <f>IF(C23*0.1&lt;C21,"Exceed 10% Rule","")</f>
      </c>
      <c r="D22" s="384">
        <f>IF(D23*0.1&lt;D21,"Exceed 10% Rule","")</f>
      </c>
      <c r="E22" s="277">
        <f>IF(E23*0.1+E42&lt;E21,"Exceed 10% Rule","")</f>
      </c>
      <c r="G22" s="578" t="s">
        <v>814</v>
      </c>
      <c r="H22" s="579"/>
      <c r="I22" s="579"/>
      <c r="J22" s="580">
        <f>IF(J19&gt;0,J21-E39,0)</f>
        <v>0</v>
      </c>
    </row>
    <row r="23" spans="2:10" ht="15.75">
      <c r="B23" s="252" t="s">
        <v>58</v>
      </c>
      <c r="C23" s="388">
        <f>SUM(C8:C21)</f>
        <v>0</v>
      </c>
      <c r="D23" s="388">
        <f>SUM(D8:D21)</f>
        <v>0</v>
      </c>
      <c r="E23" s="296">
        <f>SUM(E8:E21)</f>
        <v>0</v>
      </c>
      <c r="G23" s="581"/>
      <c r="H23" s="581"/>
      <c r="I23" s="581"/>
      <c r="J23" s="581"/>
    </row>
    <row r="24" spans="2:10" ht="15.75">
      <c r="B24" s="252" t="s">
        <v>59</v>
      </c>
      <c r="C24" s="388">
        <f>C6+C23</f>
        <v>0</v>
      </c>
      <c r="D24" s="388">
        <f>D6+D23</f>
        <v>0</v>
      </c>
      <c r="E24" s="296">
        <f>E6+E23</f>
        <v>0</v>
      </c>
      <c r="G24" s="863" t="str">
        <f>CONCATENATE("Projected Carryover Into ",E1+1,"")</f>
        <v>Projected Carryover Into 1</v>
      </c>
      <c r="H24" s="867"/>
      <c r="I24" s="867"/>
      <c r="J24" s="868"/>
    </row>
    <row r="25" spans="2:10" ht="15.75">
      <c r="B25" s="118" t="s">
        <v>62</v>
      </c>
      <c r="C25" s="250"/>
      <c r="D25" s="250"/>
      <c r="E25" s="128"/>
      <c r="G25" s="567"/>
      <c r="H25" s="569"/>
      <c r="I25" s="569"/>
      <c r="J25" s="582"/>
    </row>
    <row r="26" spans="2:10" ht="15.75">
      <c r="B26" s="261"/>
      <c r="C26" s="411"/>
      <c r="D26" s="411"/>
      <c r="E26" s="66"/>
      <c r="G26" s="583">
        <f>D36</f>
        <v>0</v>
      </c>
      <c r="H26" s="584" t="str">
        <f>CONCATENATE("",E1-1," Ending Cash Balance (est.)")</f>
        <v>-1 Ending Cash Balance (est.)</v>
      </c>
      <c r="I26" s="585"/>
      <c r="J26" s="582"/>
    </row>
    <row r="27" spans="2:10" ht="15.75">
      <c r="B27" s="261"/>
      <c r="C27" s="411"/>
      <c r="D27" s="411"/>
      <c r="E27" s="66"/>
      <c r="G27" s="583">
        <f>E23</f>
        <v>0</v>
      </c>
      <c r="H27" s="569" t="str">
        <f>CONCATENATE("",E1," Non-AV Receipts (est.)")</f>
        <v>0 Non-AV Receipts (est.)</v>
      </c>
      <c r="I27" s="585"/>
      <c r="J27" s="582"/>
    </row>
    <row r="28" spans="2:11" ht="15.75">
      <c r="B28" s="261"/>
      <c r="C28" s="411"/>
      <c r="D28" s="411"/>
      <c r="E28" s="66"/>
      <c r="G28" s="586">
        <f>IF(E41&gt;0,E40,E42)</f>
        <v>0</v>
      </c>
      <c r="H28" s="569" t="str">
        <f>CONCATENATE("",E1," Ad Valorem Tax (est.)")</f>
        <v>0 Ad Valorem Tax (est.)</v>
      </c>
      <c r="I28" s="585"/>
      <c r="J28" s="582"/>
      <c r="K28" s="622">
        <f>IF(G28=E42,"","Note: Does not include Delinquent Taxes")</f>
      </c>
    </row>
    <row r="29" spans="2:10" ht="15.75">
      <c r="B29" s="261"/>
      <c r="C29" s="411"/>
      <c r="D29" s="411"/>
      <c r="E29" s="66"/>
      <c r="G29" s="583">
        <f>SUM(G26:G28)</f>
        <v>0</v>
      </c>
      <c r="H29" s="569" t="str">
        <f>CONCATENATE("Total ",E1," Resources Available")</f>
        <v>Total 0 Resources Available</v>
      </c>
      <c r="I29" s="585"/>
      <c r="J29" s="582"/>
    </row>
    <row r="30" spans="2:10" ht="15.75">
      <c r="B30" s="261"/>
      <c r="C30" s="411"/>
      <c r="D30" s="411"/>
      <c r="E30" s="66"/>
      <c r="G30" s="587"/>
      <c r="H30" s="569"/>
      <c r="I30" s="569"/>
      <c r="J30" s="582"/>
    </row>
    <row r="31" spans="2:10" ht="15.75">
      <c r="B31" s="261"/>
      <c r="C31" s="411"/>
      <c r="D31" s="411"/>
      <c r="E31" s="66"/>
      <c r="G31" s="586">
        <f>ROUND(C35*0.05+C35,0)</f>
        <v>0</v>
      </c>
      <c r="H31" s="569" t="str">
        <f>CONCATENATE("Less ",E1-2," Expenditures + 5%")</f>
        <v>Less -2 Expenditures + 5%</v>
      </c>
      <c r="I31" s="585"/>
      <c r="J31" s="602"/>
    </row>
    <row r="32" spans="2:10" ht="15.75">
      <c r="B32" s="250" t="str">
        <f>CONCATENATE("Cash Forward (",E1," column)")</f>
        <v>Cash Forward (0 column)</v>
      </c>
      <c r="C32" s="411"/>
      <c r="D32" s="411"/>
      <c r="E32" s="66"/>
      <c r="G32" s="588">
        <f>G29-G31</f>
        <v>0</v>
      </c>
      <c r="H32" s="589" t="str">
        <f>CONCATENATE("Projected ",E1+1," carryover (est.)")</f>
        <v>Projected 1 carryover (est.)</v>
      </c>
      <c r="I32" s="590"/>
      <c r="J32" s="591"/>
    </row>
    <row r="33" spans="2:10" ht="15.75">
      <c r="B33" s="250" t="s">
        <v>298</v>
      </c>
      <c r="C33" s="411"/>
      <c r="D33" s="411"/>
      <c r="E33" s="66"/>
      <c r="G33" s="581"/>
      <c r="H33" s="581"/>
      <c r="I33" s="581"/>
      <c r="J33" s="581"/>
    </row>
    <row r="34" spans="2:10" ht="15.75">
      <c r="B34" s="250" t="s">
        <v>299</v>
      </c>
      <c r="C34" s="384">
        <f>IF(C35*0.1&lt;C33,"Exceed 10% Rule","")</f>
      </c>
      <c r="D34" s="384">
        <f>IF(D35*0.1&lt;D33,"Exceed 10% Rule","")</f>
      </c>
      <c r="E34" s="277">
        <f>IF(E35*0.1&lt;E33,"Exceed 10% Rule","")</f>
      </c>
      <c r="G34" s="860" t="s">
        <v>815</v>
      </c>
      <c r="H34" s="861"/>
      <c r="I34" s="861"/>
      <c r="J34" s="862"/>
    </row>
    <row r="35" spans="2:10" ht="15.75">
      <c r="B35" s="252" t="s">
        <v>63</v>
      </c>
      <c r="C35" s="388">
        <f>SUM(C26:C33)</f>
        <v>0</v>
      </c>
      <c r="D35" s="388">
        <f>SUM(D26:D33)</f>
        <v>0</v>
      </c>
      <c r="E35" s="296">
        <f>SUM(E26:E33)</f>
        <v>0</v>
      </c>
      <c r="G35" s="592"/>
      <c r="H35" s="584"/>
      <c r="I35" s="593"/>
      <c r="J35" s="594"/>
    </row>
    <row r="36" spans="2:10" ht="15.75">
      <c r="B36" s="118" t="s">
        <v>195</v>
      </c>
      <c r="C36" s="383">
        <f>C24-C35</f>
        <v>0</v>
      </c>
      <c r="D36" s="383">
        <f>D24-D35</f>
        <v>0</v>
      </c>
      <c r="E36" s="270" t="s">
        <v>35</v>
      </c>
      <c r="G36" s="595" t="str">
        <f>summ!H27</f>
        <v>  </v>
      </c>
      <c r="H36" s="584" t="str">
        <f>CONCATENATE("",E1," Fund Mill Rate")</f>
        <v>0 Fund Mill Rate</v>
      </c>
      <c r="I36" s="593"/>
      <c r="J36" s="594"/>
    </row>
    <row r="37" spans="2:10" ht="15.75">
      <c r="B37" s="146" t="str">
        <f>CONCATENATE("",E1-2,"/",E1-1,"/",E1," Budget Authority Amount:")</f>
        <v>-2/-1/0 Budget Authority Amount:</v>
      </c>
      <c r="C37" s="272">
        <f>inputOth!B42</f>
        <v>0</v>
      </c>
      <c r="D37" s="272">
        <f>inputPrYr!D28</f>
        <v>0</v>
      </c>
      <c r="E37" s="209">
        <f>E35</f>
        <v>0</v>
      </c>
      <c r="F37" s="263"/>
      <c r="G37" s="596" t="str">
        <f>summ!E27</f>
        <v>  </v>
      </c>
      <c r="H37" s="584" t="str">
        <f>CONCATENATE("",E1-1," Fund Mill Rate")</f>
        <v>-1 Fund Mill Rate</v>
      </c>
      <c r="I37" s="593"/>
      <c r="J37" s="594"/>
    </row>
    <row r="38" spans="2:10" ht="15.75">
      <c r="B38" s="231"/>
      <c r="C38" s="856" t="s">
        <v>675</v>
      </c>
      <c r="D38" s="857"/>
      <c r="E38" s="66"/>
      <c r="F38" s="423">
        <f>IF(E35/0.95-E35&lt;E38,"Exceeds 5%","")</f>
      </c>
      <c r="G38" s="597">
        <f>summ!H52</f>
        <v>0</v>
      </c>
      <c r="H38" s="584" t="str">
        <f>CONCATENATE("Total ",E1," Mill Rate")</f>
        <v>Total 0 Mill Rate</v>
      </c>
      <c r="I38" s="593"/>
      <c r="J38" s="594"/>
    </row>
    <row r="39" spans="2:10" ht="15.75">
      <c r="B39" s="417" t="str">
        <f>CONCATENATE(C92,"     ",D92)</f>
        <v>     </v>
      </c>
      <c r="C39" s="858" t="s">
        <v>676</v>
      </c>
      <c r="D39" s="859"/>
      <c r="E39" s="209">
        <f>E35+E38</f>
        <v>0</v>
      </c>
      <c r="G39" s="596">
        <f>summ!E52</f>
        <v>0</v>
      </c>
      <c r="H39" s="598" t="str">
        <f>CONCATENATE("Total ",E1-1," Mill Rate")</f>
        <v>Total -1 Mill Rate</v>
      </c>
      <c r="I39" s="599"/>
      <c r="J39" s="600"/>
    </row>
    <row r="40" spans="2:10" ht="15.75">
      <c r="B40" s="417" t="str">
        <f>CONCATENATE(C93,"      ",D93)</f>
        <v>      </v>
      </c>
      <c r="C40" s="264"/>
      <c r="D40" s="79" t="s">
        <v>64</v>
      </c>
      <c r="E40" s="70">
        <f>IF(E39-E24&gt;0,E39-E24,0)</f>
        <v>0</v>
      </c>
      <c r="G40" s="581"/>
      <c r="H40" s="581"/>
      <c r="I40" s="581"/>
      <c r="J40" s="581"/>
    </row>
    <row r="41" spans="2:10" ht="15.75">
      <c r="B41" s="79"/>
      <c r="C41" s="402" t="s">
        <v>677</v>
      </c>
      <c r="D41" s="624">
        <f>inputOth!$E$24</f>
        <v>0</v>
      </c>
      <c r="E41" s="209">
        <f>ROUND(IF(D41&gt;0,(E40*D41),0),0)</f>
        <v>0</v>
      </c>
      <c r="G41" s="741" t="s">
        <v>964</v>
      </c>
      <c r="H41" s="742"/>
      <c r="I41" s="744"/>
      <c r="J41" s="743" t="str">
        <f>cert!F62</f>
        <v>No</v>
      </c>
    </row>
    <row r="42" spans="2:10" ht="15.75">
      <c r="B42" s="45"/>
      <c r="C42" s="854" t="str">
        <f>CONCATENATE("Amount of  ",$E$1-1," Ad Valorem Tax")</f>
        <v>Amount of  -1 Ad Valorem Tax</v>
      </c>
      <c r="D42" s="855"/>
      <c r="E42" s="282">
        <f>E40+E41</f>
        <v>0</v>
      </c>
      <c r="G42" s="758" t="str">
        <f>CONCATENATE("Computed ",E1," tax levy limit amount")</f>
        <v>Computed 0 tax levy limit amount</v>
      </c>
      <c r="H42" s="759"/>
      <c r="I42" s="759"/>
      <c r="J42" s="760">
        <f>computation!J42</f>
        <v>0</v>
      </c>
    </row>
    <row r="43" spans="2:10" ht="15.75">
      <c r="B43" s="45"/>
      <c r="C43" s="547"/>
      <c r="D43" s="45"/>
      <c r="E43" s="45"/>
      <c r="G43" s="761" t="str">
        <f>CONCATENATE("Total ",E1," tax levy amount")</f>
        <v>Total 0 tax levy amount</v>
      </c>
      <c r="H43" s="762"/>
      <c r="I43" s="762"/>
      <c r="J43" s="763">
        <f>summ!G52</f>
        <v>0</v>
      </c>
    </row>
    <row r="44" spans="2:10" ht="15.75">
      <c r="B44" s="45"/>
      <c r="C44" s="547"/>
      <c r="D44" s="45"/>
      <c r="E44" s="45"/>
      <c r="G44" s="581"/>
      <c r="H44" s="581"/>
      <c r="I44" s="581"/>
      <c r="J44" s="581"/>
    </row>
    <row r="45" spans="2:10" ht="15.75">
      <c r="B45" s="45"/>
      <c r="C45" s="110"/>
      <c r="D45" s="110"/>
      <c r="E45" s="110"/>
      <c r="G45" s="581"/>
      <c r="H45" s="581"/>
      <c r="I45" s="581"/>
      <c r="J45" s="581"/>
    </row>
    <row r="46" spans="2:10" ht="15.75">
      <c r="B46" s="44" t="s">
        <v>49</v>
      </c>
      <c r="C46" s="563" t="str">
        <f aca="true" t="shared" si="0" ref="C46:E47">C4</f>
        <v>Prior Year </v>
      </c>
      <c r="D46" s="564" t="str">
        <f t="shared" si="0"/>
        <v>Current Year </v>
      </c>
      <c r="E46" s="114" t="str">
        <f t="shared" si="0"/>
        <v>Proposed Budget </v>
      </c>
      <c r="G46" s="581"/>
      <c r="H46" s="581"/>
      <c r="I46" s="581"/>
      <c r="J46" s="581"/>
    </row>
    <row r="47" spans="2:10" ht="15.75">
      <c r="B47" s="405">
        <f>inputPrYr!$B$29</f>
        <v>0</v>
      </c>
      <c r="C47" s="386" t="str">
        <f t="shared" si="0"/>
        <v>Actual for -2</v>
      </c>
      <c r="D47" s="386" t="str">
        <f t="shared" si="0"/>
        <v>Estimate for -1</v>
      </c>
      <c r="E47" s="256" t="str">
        <f t="shared" si="0"/>
        <v>Year for 0</v>
      </c>
      <c r="G47" s="581"/>
      <c r="H47" s="581"/>
      <c r="I47" s="581"/>
      <c r="J47" s="581"/>
    </row>
    <row r="48" spans="2:10" ht="15.75">
      <c r="B48" s="118" t="s">
        <v>194</v>
      </c>
      <c r="C48" s="411"/>
      <c r="D48" s="385">
        <f>C78</f>
        <v>0</v>
      </c>
      <c r="E48" s="209">
        <f>D78</f>
        <v>0</v>
      </c>
      <c r="G48" s="581"/>
      <c r="H48" s="581"/>
      <c r="I48" s="581"/>
      <c r="J48" s="581"/>
    </row>
    <row r="49" spans="2:10" ht="15.75">
      <c r="B49" s="245" t="s">
        <v>196</v>
      </c>
      <c r="C49" s="132"/>
      <c r="D49" s="132"/>
      <c r="E49" s="81"/>
      <c r="G49" s="581"/>
      <c r="H49" s="581"/>
      <c r="I49" s="581"/>
      <c r="J49" s="581"/>
    </row>
    <row r="50" spans="2:10" ht="15.75">
      <c r="B50" s="118" t="s">
        <v>50</v>
      </c>
      <c r="C50" s="411"/>
      <c r="D50" s="385">
        <f>IF(inputPrYr!H28&gt;0,inputPrYr!H28,inputPrYr!E29)</f>
        <v>0</v>
      </c>
      <c r="E50" s="270" t="s">
        <v>35</v>
      </c>
      <c r="G50" s="581"/>
      <c r="H50" s="581"/>
      <c r="I50" s="581"/>
      <c r="J50" s="581"/>
    </row>
    <row r="51" spans="2:10" ht="15.75">
      <c r="B51" s="118" t="s">
        <v>51</v>
      </c>
      <c r="C51" s="411"/>
      <c r="D51" s="411"/>
      <c r="E51" s="66"/>
      <c r="G51" s="581"/>
      <c r="H51" s="581"/>
      <c r="I51" s="581"/>
      <c r="J51" s="581"/>
    </row>
    <row r="52" spans="2:10" ht="15.75">
      <c r="B52" s="118" t="s">
        <v>52</v>
      </c>
      <c r="C52" s="411"/>
      <c r="D52" s="411"/>
      <c r="E52" s="209" t="str">
        <f>mvalloc!E22</f>
        <v>  </v>
      </c>
      <c r="G52" s="581"/>
      <c r="H52" s="581"/>
      <c r="I52" s="581"/>
      <c r="J52" s="581"/>
    </row>
    <row r="53" spans="2:10" ht="15.75">
      <c r="B53" s="118" t="s">
        <v>53</v>
      </c>
      <c r="C53" s="411"/>
      <c r="D53" s="411"/>
      <c r="E53" s="209" t="str">
        <f>mvalloc!F22</f>
        <v>  </v>
      </c>
      <c r="G53" s="581"/>
      <c r="H53" s="581"/>
      <c r="I53" s="581"/>
      <c r="J53" s="581"/>
    </row>
    <row r="54" spans="2:10" ht="15.75">
      <c r="B54" s="132" t="s">
        <v>154</v>
      </c>
      <c r="C54" s="411"/>
      <c r="D54" s="411"/>
      <c r="E54" s="209" t="str">
        <f>mvalloc!G22</f>
        <v>  </v>
      </c>
      <c r="G54" s="581"/>
      <c r="H54" s="581"/>
      <c r="I54" s="581"/>
      <c r="J54" s="581"/>
    </row>
    <row r="55" spans="2:10" ht="15.75">
      <c r="B55" s="273" t="s">
        <v>955</v>
      </c>
      <c r="C55" s="411"/>
      <c r="D55" s="411"/>
      <c r="E55" s="209" t="str">
        <f>mvalloc!H22</f>
        <v> </v>
      </c>
      <c r="G55" s="581"/>
      <c r="H55" s="581"/>
      <c r="I55" s="581"/>
      <c r="J55" s="581"/>
    </row>
    <row r="56" spans="2:10" ht="15.75">
      <c r="B56" s="273" t="s">
        <v>956</v>
      </c>
      <c r="C56" s="411"/>
      <c r="D56" s="411"/>
      <c r="E56" s="209" t="str">
        <f>mvalloc!I22</f>
        <v> </v>
      </c>
      <c r="G56" s="581"/>
      <c r="H56" s="581"/>
      <c r="I56" s="581"/>
      <c r="J56" s="581"/>
    </row>
    <row r="57" spans="2:10" ht="15.75">
      <c r="B57" s="261"/>
      <c r="C57" s="411"/>
      <c r="D57" s="411"/>
      <c r="E57" s="66"/>
      <c r="G57" s="581"/>
      <c r="H57" s="581"/>
      <c r="I57" s="581"/>
      <c r="J57" s="581"/>
    </row>
    <row r="58" spans="2:10" ht="15.75">
      <c r="B58" s="261"/>
      <c r="C58" s="411"/>
      <c r="D58" s="411"/>
      <c r="E58" s="66"/>
      <c r="G58" s="581"/>
      <c r="H58" s="581"/>
      <c r="I58" s="581"/>
      <c r="J58" s="581"/>
    </row>
    <row r="59" spans="2:10" ht="15.75">
      <c r="B59" s="261"/>
      <c r="C59" s="411"/>
      <c r="D59" s="411"/>
      <c r="E59" s="66"/>
      <c r="G59" s="863" t="str">
        <f>CONCATENATE("Desired Carryover Into ",E1+1,"")</f>
        <v>Desired Carryover Into 1</v>
      </c>
      <c r="H59" s="864"/>
      <c r="I59" s="864"/>
      <c r="J59" s="833"/>
    </row>
    <row r="60" spans="2:10" ht="15.75">
      <c r="B60" s="261"/>
      <c r="C60" s="411"/>
      <c r="D60" s="411"/>
      <c r="E60" s="66"/>
      <c r="G60" s="567"/>
      <c r="H60" s="568"/>
      <c r="I60" s="569"/>
      <c r="J60" s="570"/>
    </row>
    <row r="61" spans="2:10" ht="15.75">
      <c r="B61" s="249" t="s">
        <v>57</v>
      </c>
      <c r="C61" s="411"/>
      <c r="D61" s="411"/>
      <c r="E61" s="66"/>
      <c r="G61" s="571" t="s">
        <v>683</v>
      </c>
      <c r="H61" s="569"/>
      <c r="I61" s="569"/>
      <c r="J61" s="572">
        <v>0</v>
      </c>
    </row>
    <row r="62" spans="2:10" ht="15.75">
      <c r="B62" s="250" t="s">
        <v>297</v>
      </c>
      <c r="C62" s="411"/>
      <c r="D62" s="411"/>
      <c r="E62" s="280">
        <f>Nhood!E18*-1</f>
        <v>0</v>
      </c>
      <c r="G62" s="567" t="s">
        <v>684</v>
      </c>
      <c r="H62" s="568"/>
      <c r="I62" s="568"/>
      <c r="J62" s="573">
        <f>IF(J61=0,"",ROUND((J61+E84-G74)/inputOth!E5*1000,3)-G79)</f>
      </c>
    </row>
    <row r="63" spans="2:10" ht="15.75">
      <c r="B63" s="250" t="s">
        <v>298</v>
      </c>
      <c r="C63" s="411"/>
      <c r="D63" s="411"/>
      <c r="E63" s="66"/>
      <c r="G63" s="574" t="str">
        <f>CONCATENATE("",E1," Tot Exp/Non-Appr Must Be:")</f>
        <v>0 Tot Exp/Non-Appr Must Be:</v>
      </c>
      <c r="H63" s="575"/>
      <c r="I63" s="576"/>
      <c r="J63" s="577">
        <f>IF(J61&gt;0,IF(E81&lt;E66,IF(J61=G74,E81,((J61-G74)*(1-D83))+E66),E81+(J61-G74)),0)</f>
        <v>0</v>
      </c>
    </row>
    <row r="64" spans="2:10" ht="15.75">
      <c r="B64" s="250" t="s">
        <v>300</v>
      </c>
      <c r="C64" s="384">
        <f>IF(C65*0.1&lt;C63,"Exceed 10% Rule","")</f>
      </c>
      <c r="D64" s="384">
        <f>IF(D65*0.1&lt;D63,"Exceed 10% Rule","")</f>
      </c>
      <c r="E64" s="277">
        <f>IF(E65*0.1+E84&lt;E63,"Exceed 10% Rule","")</f>
      </c>
      <c r="G64" s="578" t="s">
        <v>814</v>
      </c>
      <c r="H64" s="579"/>
      <c r="I64" s="579"/>
      <c r="J64" s="580">
        <f>IF(J61&gt;0,J63-E81,0)</f>
        <v>0</v>
      </c>
    </row>
    <row r="65" spans="2:10" ht="15.75">
      <c r="B65" s="252" t="s">
        <v>58</v>
      </c>
      <c r="C65" s="388">
        <f>SUM(C50:C63)</f>
        <v>0</v>
      </c>
      <c r="D65" s="388">
        <f>SUM(D50:D63)</f>
        <v>0</v>
      </c>
      <c r="E65" s="296">
        <f>SUM(E50:E63)</f>
        <v>0</v>
      </c>
      <c r="G65" s="581"/>
      <c r="H65" s="581"/>
      <c r="I65" s="581"/>
      <c r="J65" s="581"/>
    </row>
    <row r="66" spans="2:10" ht="15.75">
      <c r="B66" s="252" t="s">
        <v>59</v>
      </c>
      <c r="C66" s="388">
        <f>C48+C65</f>
        <v>0</v>
      </c>
      <c r="D66" s="388">
        <f>D48+D65</f>
        <v>0</v>
      </c>
      <c r="E66" s="296">
        <f>E48+E65</f>
        <v>0</v>
      </c>
      <c r="G66" s="863" t="str">
        <f>CONCATENATE("Projected Carryover Into ",E1+1,"")</f>
        <v>Projected Carryover Into 1</v>
      </c>
      <c r="H66" s="869"/>
      <c r="I66" s="869"/>
      <c r="J66" s="868"/>
    </row>
    <row r="67" spans="2:10" ht="15.75">
      <c r="B67" s="118" t="s">
        <v>62</v>
      </c>
      <c r="C67" s="250"/>
      <c r="D67" s="250"/>
      <c r="E67" s="128"/>
      <c r="G67" s="601"/>
      <c r="H67" s="568"/>
      <c r="I67" s="568"/>
      <c r="J67" s="602"/>
    </row>
    <row r="68" spans="2:10" ht="15.75">
      <c r="B68" s="261"/>
      <c r="C68" s="411"/>
      <c r="D68" s="411"/>
      <c r="E68" s="66"/>
      <c r="G68" s="583">
        <f>D78</f>
        <v>0</v>
      </c>
      <c r="H68" s="584" t="str">
        <f>CONCATENATE("",E1-1," Ending Cash Balance (est.)")</f>
        <v>-1 Ending Cash Balance (est.)</v>
      </c>
      <c r="I68" s="585"/>
      <c r="J68" s="602"/>
    </row>
    <row r="69" spans="2:10" ht="15.75">
      <c r="B69" s="261"/>
      <c r="C69" s="411"/>
      <c r="D69" s="411"/>
      <c r="E69" s="66"/>
      <c r="G69" s="583">
        <f>E65</f>
        <v>0</v>
      </c>
      <c r="H69" s="569" t="str">
        <f>CONCATENATE("",E1," Non-AV Receipts (est.)")</f>
        <v>0 Non-AV Receipts (est.)</v>
      </c>
      <c r="I69" s="585"/>
      <c r="J69" s="602"/>
    </row>
    <row r="70" spans="2:11" ht="15.75">
      <c r="B70" s="261"/>
      <c r="C70" s="411"/>
      <c r="D70" s="411"/>
      <c r="E70" s="66"/>
      <c r="G70" s="586">
        <f>IF(E83&gt;0,E82,E84)</f>
        <v>0</v>
      </c>
      <c r="H70" s="569" t="str">
        <f>CONCATENATE("",E1," Ad Valorem Tax (est.)")</f>
        <v>0 Ad Valorem Tax (est.)</v>
      </c>
      <c r="I70" s="585"/>
      <c r="J70" s="602"/>
      <c r="K70" s="622">
        <f>IF(G70=E84,"","Note: Does not include Delinquent Taxes")</f>
      </c>
    </row>
    <row r="71" spans="2:10" ht="15.75">
      <c r="B71" s="261"/>
      <c r="C71" s="411"/>
      <c r="D71" s="411"/>
      <c r="E71" s="66"/>
      <c r="G71" s="603">
        <f>SUM(G68:G70)</f>
        <v>0</v>
      </c>
      <c r="H71" s="569" t="str">
        <f>CONCATENATE("Total ",E1," Resources Available")</f>
        <v>Total 0 Resources Available</v>
      </c>
      <c r="I71" s="604"/>
      <c r="J71" s="602"/>
    </row>
    <row r="72" spans="2:10" ht="15.75">
      <c r="B72" s="261"/>
      <c r="C72" s="411"/>
      <c r="D72" s="411"/>
      <c r="E72" s="66"/>
      <c r="G72" s="605"/>
      <c r="H72" s="606"/>
      <c r="I72" s="568"/>
      <c r="J72" s="602"/>
    </row>
    <row r="73" spans="2:10" ht="15.75">
      <c r="B73" s="261"/>
      <c r="C73" s="411"/>
      <c r="D73" s="411"/>
      <c r="E73" s="66"/>
      <c r="G73" s="607">
        <f>ROUND(C77*0.05+C77,0)</f>
        <v>0</v>
      </c>
      <c r="H73" s="569" t="str">
        <f>CONCATENATE("Less ",E1-2," Expenditures + 5%")</f>
        <v>Less -2 Expenditures + 5%</v>
      </c>
      <c r="I73" s="604"/>
      <c r="J73" s="602"/>
    </row>
    <row r="74" spans="2:10" ht="15.75">
      <c r="B74" s="250" t="str">
        <f>CONCATENATE("Cash Forward (",E1," column)")</f>
        <v>Cash Forward (0 column)</v>
      </c>
      <c r="C74" s="411"/>
      <c r="D74" s="411"/>
      <c r="E74" s="66"/>
      <c r="G74" s="608">
        <f>G71-G73</f>
        <v>0</v>
      </c>
      <c r="H74" s="589" t="str">
        <f>CONCATENATE("Projected ",E1+1," carryover (est.)")</f>
        <v>Projected 1 carryover (est.)</v>
      </c>
      <c r="I74" s="609"/>
      <c r="J74" s="610"/>
    </row>
    <row r="75" spans="2:10" ht="15.75">
      <c r="B75" s="250" t="s">
        <v>298</v>
      </c>
      <c r="C75" s="411"/>
      <c r="D75" s="411"/>
      <c r="E75" s="66"/>
      <c r="G75" s="581"/>
      <c r="H75" s="581"/>
      <c r="I75" s="581"/>
      <c r="J75" s="581"/>
    </row>
    <row r="76" spans="2:10" ht="15.75">
      <c r="B76" s="250" t="s">
        <v>299</v>
      </c>
      <c r="C76" s="384">
        <f>IF(C77*0.1&lt;C75,"Exceed 10% Rule","")</f>
      </c>
      <c r="D76" s="384">
        <f>IF(D77*0.1&lt;D75,"Exceed 10% Rule","")</f>
      </c>
      <c r="E76" s="277">
        <f>IF(E77*0.1&lt;E75,"Exceed 10% Rule","")</f>
      </c>
      <c r="G76" s="860" t="s">
        <v>815</v>
      </c>
      <c r="H76" s="861"/>
      <c r="I76" s="861"/>
      <c r="J76" s="862"/>
    </row>
    <row r="77" spans="2:10" ht="15.75">
      <c r="B77" s="252" t="s">
        <v>63</v>
      </c>
      <c r="C77" s="388">
        <f>SUM(C68:C75)</f>
        <v>0</v>
      </c>
      <c r="D77" s="388">
        <f>SUM(D68:D75)</f>
        <v>0</v>
      </c>
      <c r="E77" s="296">
        <f>SUM(E68:E75)</f>
        <v>0</v>
      </c>
      <c r="G77" s="592"/>
      <c r="H77" s="584"/>
      <c r="I77" s="593"/>
      <c r="J77" s="594"/>
    </row>
    <row r="78" spans="2:10" ht="15.75">
      <c r="B78" s="118" t="s">
        <v>195</v>
      </c>
      <c r="C78" s="383">
        <f>C66-C77</f>
        <v>0</v>
      </c>
      <c r="D78" s="383">
        <f>D66-D77</f>
        <v>0</v>
      </c>
      <c r="E78" s="270" t="s">
        <v>35</v>
      </c>
      <c r="G78" s="595" t="str">
        <f>summ!H28</f>
        <v>  </v>
      </c>
      <c r="H78" s="584" t="str">
        <f>CONCATENATE("",E1," Fund Mill Rate")</f>
        <v>0 Fund Mill Rate</v>
      </c>
      <c r="I78" s="593"/>
      <c r="J78" s="594"/>
    </row>
    <row r="79" spans="2:10" ht="15.75">
      <c r="B79" s="146" t="str">
        <f>CONCATENATE("",E1-2,"/",E1-1,"/",E1," Budget Authority Amount:")</f>
        <v>-2/-1/0 Budget Authority Amount:</v>
      </c>
      <c r="C79" s="272">
        <f>inputOth!B43</f>
        <v>0</v>
      </c>
      <c r="D79" s="272">
        <f>inputPrYr!D29</f>
        <v>0</v>
      </c>
      <c r="E79" s="209">
        <f>E77</f>
        <v>0</v>
      </c>
      <c r="F79" s="263"/>
      <c r="G79" s="596" t="str">
        <f>summ!E28</f>
        <v>  </v>
      </c>
      <c r="H79" s="584" t="str">
        <f>CONCATENATE("",E1-1," Fund Mill Rate")</f>
        <v>-1 Fund Mill Rate</v>
      </c>
      <c r="I79" s="593"/>
      <c r="J79" s="594"/>
    </row>
    <row r="80" spans="2:10" ht="15.75">
      <c r="B80" s="231"/>
      <c r="C80" s="856" t="s">
        <v>675</v>
      </c>
      <c r="D80" s="857"/>
      <c r="E80" s="66"/>
      <c r="F80" s="423">
        <f>IF(E77/0.95-E77&lt;E80,"Exceeds 5%","")</f>
      </c>
      <c r="G80" s="597">
        <f>summ!H52</f>
        <v>0</v>
      </c>
      <c r="H80" s="584" t="str">
        <f>CONCATENATE("Total ",E1," Mill Rate")</f>
        <v>Total 0 Mill Rate</v>
      </c>
      <c r="I80" s="593"/>
      <c r="J80" s="594"/>
    </row>
    <row r="81" spans="2:10" ht="15.75">
      <c r="B81" s="417" t="str">
        <f>CONCATENATE(C94,"      ",D94)</f>
        <v>      </v>
      </c>
      <c r="C81" s="858" t="s">
        <v>676</v>
      </c>
      <c r="D81" s="859"/>
      <c r="E81" s="209">
        <f>E77+E80</f>
        <v>0</v>
      </c>
      <c r="G81" s="596">
        <f>summ!E52</f>
        <v>0</v>
      </c>
      <c r="H81" s="598" t="str">
        <f>CONCATENATE("Total ",E1-1," Mill Rate")</f>
        <v>Total -1 Mill Rate</v>
      </c>
      <c r="I81" s="599"/>
      <c r="J81" s="600"/>
    </row>
    <row r="82" spans="2:5" ht="15.75">
      <c r="B82" s="417" t="str">
        <f>CONCATENATE(C95,"      ",D95)</f>
        <v>      </v>
      </c>
      <c r="C82" s="264"/>
      <c r="D82" s="79" t="s">
        <v>64</v>
      </c>
      <c r="E82" s="70">
        <f>IF(E81-E66&gt;0,E81-E66,0)</f>
        <v>0</v>
      </c>
    </row>
    <row r="83" spans="2:10" ht="15.75">
      <c r="B83" s="79"/>
      <c r="C83" s="402" t="s">
        <v>677</v>
      </c>
      <c r="D83" s="624">
        <f>inputOth!$E$24</f>
        <v>0</v>
      </c>
      <c r="E83" s="209">
        <f>ROUND(IF(D83&gt;0,(E82*D83),0),0)</f>
        <v>0</v>
      </c>
      <c r="G83" s="741" t="s">
        <v>964</v>
      </c>
      <c r="H83" s="742"/>
      <c r="I83" s="744"/>
      <c r="J83" s="743" t="str">
        <f>cert!F62</f>
        <v>No</v>
      </c>
    </row>
    <row r="84" spans="2:10" ht="15.75">
      <c r="B84" s="45"/>
      <c r="C84" s="854" t="str">
        <f>CONCATENATE("Amount of  ",$E$1-1," Ad Valorem Tax")</f>
        <v>Amount of  -1 Ad Valorem Tax</v>
      </c>
      <c r="D84" s="855"/>
      <c r="E84" s="282">
        <f>E82+E83</f>
        <v>0</v>
      </c>
      <c r="G84" s="745" t="str">
        <f>CONCATENATE("Computed ",E1," tax levy limit amount")</f>
        <v>Computed 0 tax levy limit amount</v>
      </c>
      <c r="H84" s="746"/>
      <c r="I84" s="746"/>
      <c r="J84" s="747">
        <f>computation!J42</f>
        <v>0</v>
      </c>
    </row>
    <row r="85" spans="2:10" ht="15.75">
      <c r="B85" s="265" t="s">
        <v>115</v>
      </c>
      <c r="C85" s="709"/>
      <c r="D85" s="45"/>
      <c r="E85" s="45"/>
      <c r="G85" s="748" t="str">
        <f>CONCATENATE("Total ",E1," tax levy amount")</f>
        <v>Total 0 tax levy amount</v>
      </c>
      <c r="H85" s="749"/>
      <c r="I85" s="749"/>
      <c r="J85" s="750">
        <f>summ!G52</f>
        <v>0</v>
      </c>
    </row>
    <row r="92" spans="3:4" ht="15.75" hidden="1">
      <c r="C92" s="31">
        <f>IF(C35&gt;C37,"See Tab A","")</f>
      </c>
      <c r="D92" s="31">
        <f>IF(D35&gt;D37,"See Tab C","")</f>
      </c>
    </row>
    <row r="93" spans="3:4" ht="15.75" hidden="1">
      <c r="C93" s="31">
        <f>IF(C36&lt;0,"See Tab B","")</f>
      </c>
      <c r="D93" s="31">
        <f>IF(D36&lt;0,"See Tab D","")</f>
      </c>
    </row>
    <row r="94" spans="3:4" ht="15.75" hidden="1">
      <c r="C94" s="31">
        <f>IF(C77&gt;C79,"See Tab A","")</f>
      </c>
      <c r="D94" s="31">
        <f>IF(D77&gt;D79,"See Tab C","")</f>
      </c>
    </row>
    <row r="95" spans="3:4" ht="15.75" hidden="1">
      <c r="C95" s="31">
        <f>IF(C78&lt;0,"See Tab B","")</f>
      </c>
      <c r="D95" s="31">
        <f>IF(D78&lt;0,"See Tab D","")</f>
      </c>
    </row>
  </sheetData>
  <sheetProtection sheet="1"/>
  <mergeCells count="12">
    <mergeCell ref="G17:J17"/>
    <mergeCell ref="G24:J24"/>
    <mergeCell ref="G34:J34"/>
    <mergeCell ref="G59:J59"/>
    <mergeCell ref="G66:J66"/>
    <mergeCell ref="G76:J76"/>
    <mergeCell ref="C38:D38"/>
    <mergeCell ref="C39:D39"/>
    <mergeCell ref="C80:D80"/>
    <mergeCell ref="C81:D81"/>
    <mergeCell ref="C84:D84"/>
    <mergeCell ref="C42:D42"/>
  </mergeCells>
  <conditionalFormatting sqref="E38">
    <cfRule type="cellIs" priority="3" dxfId="351" operator="greaterThan" stopIfTrue="1">
      <formula>$E$35/0.95-$E$35</formula>
    </cfRule>
  </conditionalFormatting>
  <conditionalFormatting sqref="E80">
    <cfRule type="cellIs" priority="4" dxfId="351" operator="greaterThan" stopIfTrue="1">
      <formula>$E$77/0.95-$E$77</formula>
    </cfRule>
  </conditionalFormatting>
  <conditionalFormatting sqref="E75">
    <cfRule type="cellIs" priority="5" dxfId="351" operator="greaterThan" stopIfTrue="1">
      <formula>$E$77*0.1</formula>
    </cfRule>
  </conditionalFormatting>
  <conditionalFormatting sqref="C21">
    <cfRule type="cellIs" priority="6" dxfId="351" operator="greaterThan" stopIfTrue="1">
      <formula>$C$23*0.1</formula>
    </cfRule>
  </conditionalFormatting>
  <conditionalFormatting sqref="D21">
    <cfRule type="cellIs" priority="7" dxfId="351" operator="greaterThan" stopIfTrue="1">
      <formula>$D$23*0.1</formula>
    </cfRule>
  </conditionalFormatting>
  <conditionalFormatting sqref="E33">
    <cfRule type="cellIs" priority="8" dxfId="351" operator="greaterThan" stopIfTrue="1">
      <formula>$E$35*0.1</formula>
    </cfRule>
  </conditionalFormatting>
  <conditionalFormatting sqref="E21">
    <cfRule type="cellIs" priority="9" dxfId="351" operator="greaterThan" stopIfTrue="1">
      <formula>$E$23*0.1+E42</formula>
    </cfRule>
  </conditionalFormatting>
  <conditionalFormatting sqref="E63">
    <cfRule type="cellIs" priority="10" dxfId="351" operator="greaterThan" stopIfTrue="1">
      <formula>$E$65*0.1+E84</formula>
    </cfRule>
  </conditionalFormatting>
  <conditionalFormatting sqref="C75">
    <cfRule type="cellIs" priority="11" dxfId="2" operator="greaterThan" stopIfTrue="1">
      <formula>$C$77*0.1</formula>
    </cfRule>
  </conditionalFormatting>
  <conditionalFormatting sqref="D75">
    <cfRule type="cellIs" priority="12" dxfId="2" operator="greaterThan" stopIfTrue="1">
      <formula>$D$77*0.1</formula>
    </cfRule>
  </conditionalFormatting>
  <conditionalFormatting sqref="D63">
    <cfRule type="cellIs" priority="13" dxfId="2" operator="greaterThan" stopIfTrue="1">
      <formula>$D$65*0.1</formula>
    </cfRule>
  </conditionalFormatting>
  <conditionalFormatting sqref="C63">
    <cfRule type="cellIs" priority="14" dxfId="2" operator="greaterThan" stopIfTrue="1">
      <formula>$C$65*0.1</formula>
    </cfRule>
  </conditionalFormatting>
  <conditionalFormatting sqref="C33">
    <cfRule type="cellIs" priority="15" dxfId="2" operator="greaterThan" stopIfTrue="1">
      <formula>$C$35*0.1</formula>
    </cfRule>
  </conditionalFormatting>
  <conditionalFormatting sqref="D33">
    <cfRule type="cellIs" priority="16" dxfId="2" operator="greaterThan" stopIfTrue="1">
      <formula>$D$35*0.1</formula>
    </cfRule>
  </conditionalFormatting>
  <conditionalFormatting sqref="C35">
    <cfRule type="cellIs" priority="17" dxfId="2" operator="greaterThan" stopIfTrue="1">
      <formula>$C$37</formula>
    </cfRule>
  </conditionalFormatting>
  <conditionalFormatting sqref="D35">
    <cfRule type="cellIs" priority="18" dxfId="2" operator="greaterThan" stopIfTrue="1">
      <formula>$D$37</formula>
    </cfRule>
  </conditionalFormatting>
  <conditionalFormatting sqref="C36 C78">
    <cfRule type="cellIs" priority="19" dxfId="2" operator="lessThan" stopIfTrue="1">
      <formula>0</formula>
    </cfRule>
  </conditionalFormatting>
  <conditionalFormatting sqref="C77">
    <cfRule type="cellIs" priority="20" dxfId="2" operator="greaterThan" stopIfTrue="1">
      <formula>$C$79</formula>
    </cfRule>
  </conditionalFormatting>
  <conditionalFormatting sqref="D77">
    <cfRule type="cellIs" priority="21" dxfId="2" operator="greaterThan" stopIfTrue="1">
      <formula>$D$79</formula>
    </cfRule>
  </conditionalFormatting>
  <conditionalFormatting sqref="D36 D78">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7" r:id="rId1"/>
  <headerFooter alignWithMargins="0">
    <oddHeader>&amp;RState of Kansas
County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Q136" sqref="Q136"/>
    </sheetView>
  </sheetViews>
  <sheetFormatPr defaultColWidth="8.796875" defaultRowHeight="15"/>
  <cols>
    <col min="1" max="1" width="2.3984375" style="31" customWidth="1"/>
    <col min="2" max="2" width="31.09765625" style="31" customWidth="1"/>
    <col min="3" max="4" width="15.796875" style="31" customWidth="1"/>
    <col min="5" max="5" width="16.19921875" style="31" customWidth="1"/>
    <col min="6" max="6" width="8.8984375" style="31" customWidth="1"/>
    <col min="7" max="7" width="10.19921875" style="31" customWidth="1"/>
    <col min="8" max="8" width="8.8984375" style="31" customWidth="1"/>
    <col min="9" max="9" width="5.796875" style="31" customWidth="1"/>
    <col min="10" max="10" width="10" style="31" customWidth="1"/>
    <col min="11" max="16384" width="8.8984375" style="31" customWidth="1"/>
  </cols>
  <sheetData>
    <row r="1" spans="2:5" ht="15.75">
      <c r="B1" s="160">
        <f>(inputPrYr!C3)</f>
        <v>0</v>
      </c>
      <c r="C1" s="45"/>
      <c r="D1" s="45"/>
      <c r="E1" s="230">
        <f>inputPrYr!C5</f>
        <v>0</v>
      </c>
    </row>
    <row r="2" spans="2:5" ht="15.75">
      <c r="B2" s="169"/>
      <c r="C2" s="266"/>
      <c r="D2" s="266"/>
      <c r="E2" s="267"/>
    </row>
    <row r="3" spans="2:5" ht="15.75">
      <c r="B3" s="414" t="s">
        <v>162</v>
      </c>
      <c r="C3" s="110"/>
      <c r="D3" s="110"/>
      <c r="E3" s="110"/>
    </row>
    <row r="4" spans="2:5" ht="15.75">
      <c r="B4" s="44" t="s">
        <v>49</v>
      </c>
      <c r="C4" s="563" t="s">
        <v>811</v>
      </c>
      <c r="D4" s="564" t="s">
        <v>812</v>
      </c>
      <c r="E4" s="114" t="s">
        <v>813</v>
      </c>
    </row>
    <row r="5" spans="2:5" ht="15.75">
      <c r="B5" s="405">
        <f>inputPrYr!$B$30</f>
        <v>0</v>
      </c>
      <c r="C5" s="386" t="str">
        <f>CONCATENATE("Actual for ",E1-2,"")</f>
        <v>Actual for -2</v>
      </c>
      <c r="D5" s="386" t="str">
        <f>CONCATENATE("Estimate for ",E1-1,"")</f>
        <v>Estimate for -1</v>
      </c>
      <c r="E5" s="244" t="str">
        <f>CONCATENATE("Year for ",E1,"")</f>
        <v>Year for 0</v>
      </c>
    </row>
    <row r="6" spans="2:5" ht="15.75">
      <c r="B6" s="118" t="s">
        <v>194</v>
      </c>
      <c r="C6" s="411"/>
      <c r="D6" s="385">
        <f>C36</f>
        <v>0</v>
      </c>
      <c r="E6" s="209">
        <f>D36</f>
        <v>0</v>
      </c>
    </row>
    <row r="7" spans="2:5" ht="15.75">
      <c r="B7" s="234" t="s">
        <v>196</v>
      </c>
      <c r="C7" s="132"/>
      <c r="D7" s="132"/>
      <c r="E7" s="81"/>
    </row>
    <row r="8" spans="2:5" ht="15.75">
      <c r="B8" s="118" t="s">
        <v>50</v>
      </c>
      <c r="C8" s="411"/>
      <c r="D8" s="385">
        <f>IF(inputPrYr!H29&gt;0,inputPrYr!H29,inputPrYr!E30)</f>
        <v>0</v>
      </c>
      <c r="E8" s="270" t="s">
        <v>35</v>
      </c>
    </row>
    <row r="9" spans="2:5" ht="15.75">
      <c r="B9" s="118" t="s">
        <v>51</v>
      </c>
      <c r="C9" s="411"/>
      <c r="D9" s="411"/>
      <c r="E9" s="66"/>
    </row>
    <row r="10" spans="2:5" ht="15.75">
      <c r="B10" s="118" t="s">
        <v>52</v>
      </c>
      <c r="C10" s="411"/>
      <c r="D10" s="411"/>
      <c r="E10" s="209" t="str">
        <f>mvalloc!E23</f>
        <v>  </v>
      </c>
    </row>
    <row r="11" spans="2:5" ht="15.75">
      <c r="B11" s="118" t="s">
        <v>53</v>
      </c>
      <c r="C11" s="411"/>
      <c r="D11" s="411"/>
      <c r="E11" s="209" t="str">
        <f>mvalloc!F23</f>
        <v>  </v>
      </c>
    </row>
    <row r="12" spans="2:5" ht="15.75">
      <c r="B12" s="132" t="s">
        <v>154</v>
      </c>
      <c r="C12" s="411"/>
      <c r="D12" s="411"/>
      <c r="E12" s="209" t="str">
        <f>mvalloc!G23</f>
        <v>  </v>
      </c>
    </row>
    <row r="13" spans="2:5" ht="15.75">
      <c r="B13" s="273" t="s">
        <v>955</v>
      </c>
      <c r="C13" s="411"/>
      <c r="D13" s="411"/>
      <c r="E13" s="209" t="str">
        <f>mvalloc!H23</f>
        <v> </v>
      </c>
    </row>
    <row r="14" spans="2:5" ht="15.75">
      <c r="B14" s="273" t="s">
        <v>956</v>
      </c>
      <c r="C14" s="411"/>
      <c r="D14" s="411"/>
      <c r="E14" s="209" t="str">
        <f>mvalloc!I23</f>
        <v> </v>
      </c>
    </row>
    <row r="15" spans="2:5" ht="15.75">
      <c r="B15" s="261"/>
      <c r="C15" s="411"/>
      <c r="D15" s="411"/>
      <c r="E15" s="66"/>
    </row>
    <row r="16" spans="2:5" ht="15.75">
      <c r="B16" s="261"/>
      <c r="C16" s="411"/>
      <c r="D16" s="411"/>
      <c r="E16" s="66"/>
    </row>
    <row r="17" spans="2:10" ht="15.75">
      <c r="B17" s="261"/>
      <c r="C17" s="411"/>
      <c r="D17" s="411"/>
      <c r="E17" s="66"/>
      <c r="G17" s="863" t="str">
        <f>CONCATENATE("Desired Carryover Into ",E1+1,"")</f>
        <v>Desired Carryover Into 1</v>
      </c>
      <c r="H17" s="864"/>
      <c r="I17" s="864"/>
      <c r="J17" s="833"/>
    </row>
    <row r="18" spans="2:10" ht="15.75">
      <c r="B18" s="261"/>
      <c r="C18" s="411"/>
      <c r="D18" s="411"/>
      <c r="E18" s="66"/>
      <c r="G18" s="567"/>
      <c r="H18" s="568"/>
      <c r="I18" s="569"/>
      <c r="J18" s="570"/>
    </row>
    <row r="19" spans="2:10" ht="15.75">
      <c r="B19" s="249" t="s">
        <v>57</v>
      </c>
      <c r="C19" s="411"/>
      <c r="D19" s="411"/>
      <c r="E19" s="66"/>
      <c r="G19" s="571" t="s">
        <v>683</v>
      </c>
      <c r="H19" s="569"/>
      <c r="I19" s="569"/>
      <c r="J19" s="572">
        <v>0</v>
      </c>
    </row>
    <row r="20" spans="2:10" ht="15.75">
      <c r="B20" s="250" t="s">
        <v>297</v>
      </c>
      <c r="C20" s="411"/>
      <c r="D20" s="411"/>
      <c r="E20" s="280">
        <f>Nhood!E19*-1</f>
        <v>0</v>
      </c>
      <c r="G20" s="567" t="s">
        <v>684</v>
      </c>
      <c r="H20" s="568"/>
      <c r="I20" s="568"/>
      <c r="J20" s="573">
        <f>IF(J19=0,"",ROUND((J19+E42-G32)/inputOth!E5*1000,3)-G37)</f>
      </c>
    </row>
    <row r="21" spans="2:10" ht="15.75">
      <c r="B21" s="250" t="s">
        <v>298</v>
      </c>
      <c r="C21" s="411"/>
      <c r="D21" s="411"/>
      <c r="E21" s="66"/>
      <c r="G21" s="574" t="str">
        <f>CONCATENATE("",E1," Tot Exp/Non-Appr Must Be:")</f>
        <v>0 Tot Exp/Non-Appr Must Be:</v>
      </c>
      <c r="H21" s="575"/>
      <c r="I21" s="576"/>
      <c r="J21" s="577">
        <f>IF(J19&gt;0,IF(E39&lt;E24,IF(J19=G32,E39,((J19-G32)*(1-D41))+E24),E39+(J19-G32)),0)</f>
        <v>0</v>
      </c>
    </row>
    <row r="22" spans="2:10" ht="15.75">
      <c r="B22" s="250" t="s">
        <v>300</v>
      </c>
      <c r="C22" s="384">
        <f>IF(C23*0.1&lt;C21,"Exceed 10% Rule","")</f>
      </c>
      <c r="D22" s="384">
        <f>IF(D23*0.1&lt;D21,"Exceed 10% Rule","")</f>
      </c>
      <c r="E22" s="277">
        <f>IF(E23*0.1+E42&lt;E21,"Exceed 10% Rule","")</f>
      </c>
      <c r="G22" s="578" t="s">
        <v>814</v>
      </c>
      <c r="H22" s="579"/>
      <c r="I22" s="579"/>
      <c r="J22" s="580">
        <f>IF(J19&gt;0,J21-E39,0)</f>
        <v>0</v>
      </c>
    </row>
    <row r="23" spans="2:10" ht="15.75">
      <c r="B23" s="252" t="s">
        <v>58</v>
      </c>
      <c r="C23" s="388">
        <f>SUM(C8:C21)</f>
        <v>0</v>
      </c>
      <c r="D23" s="388">
        <f>SUM(D8:D21)</f>
        <v>0</v>
      </c>
      <c r="E23" s="296">
        <f>SUM(E8:E21)</f>
        <v>0</v>
      </c>
      <c r="G23" s="581"/>
      <c r="H23" s="581"/>
      <c r="I23" s="581"/>
      <c r="J23" s="581"/>
    </row>
    <row r="24" spans="2:10" ht="15.75">
      <c r="B24" s="252" t="s">
        <v>59</v>
      </c>
      <c r="C24" s="388">
        <f>C6+C23</f>
        <v>0</v>
      </c>
      <c r="D24" s="388">
        <f>D6+D23</f>
        <v>0</v>
      </c>
      <c r="E24" s="296">
        <f>E6+E23</f>
        <v>0</v>
      </c>
      <c r="G24" s="863" t="str">
        <f>CONCATENATE("Projected Carryover Into ",E1+1,"")</f>
        <v>Projected Carryover Into 1</v>
      </c>
      <c r="H24" s="867"/>
      <c r="I24" s="867"/>
      <c r="J24" s="868"/>
    </row>
    <row r="25" spans="2:10" ht="15.75">
      <c r="B25" s="118" t="s">
        <v>62</v>
      </c>
      <c r="C25" s="250"/>
      <c r="D25" s="250"/>
      <c r="E25" s="128"/>
      <c r="G25" s="567"/>
      <c r="H25" s="569"/>
      <c r="I25" s="569"/>
      <c r="J25" s="582"/>
    </row>
    <row r="26" spans="2:10" ht="15.75">
      <c r="B26" s="261"/>
      <c r="C26" s="411"/>
      <c r="D26" s="411"/>
      <c r="E26" s="66"/>
      <c r="G26" s="583">
        <f>D36</f>
        <v>0</v>
      </c>
      <c r="H26" s="584" t="str">
        <f>CONCATENATE("",E1-1," Ending Cash Balance (est.)")</f>
        <v>-1 Ending Cash Balance (est.)</v>
      </c>
      <c r="I26" s="585"/>
      <c r="J26" s="582"/>
    </row>
    <row r="27" spans="2:10" ht="15.75">
      <c r="B27" s="261"/>
      <c r="C27" s="411"/>
      <c r="D27" s="411"/>
      <c r="E27" s="66"/>
      <c r="G27" s="583">
        <f>E23</f>
        <v>0</v>
      </c>
      <c r="H27" s="569" t="str">
        <f>CONCATENATE("",E1," Non-AV Receipts (est.)")</f>
        <v>0 Non-AV Receipts (est.)</v>
      </c>
      <c r="I27" s="585"/>
      <c r="J27" s="582"/>
    </row>
    <row r="28" spans="2:11" ht="15.75">
      <c r="B28" s="261"/>
      <c r="C28" s="411"/>
      <c r="D28" s="411"/>
      <c r="E28" s="66"/>
      <c r="G28" s="586">
        <f>IF(E41&gt;0,E40,E42)</f>
        <v>0</v>
      </c>
      <c r="H28" s="569" t="str">
        <f>CONCATENATE("",E1," Ad Valorem Tax (est.)")</f>
        <v>0 Ad Valorem Tax (est.)</v>
      </c>
      <c r="I28" s="585"/>
      <c r="J28" s="582"/>
      <c r="K28" s="622">
        <f>IF(G28=E42,"","Note: Does not include Delinquent Taxes")</f>
      </c>
    </row>
    <row r="29" spans="2:10" ht="15.75">
      <c r="B29" s="261"/>
      <c r="C29" s="411"/>
      <c r="D29" s="411"/>
      <c r="E29" s="66"/>
      <c r="G29" s="583">
        <f>SUM(G26:G28)</f>
        <v>0</v>
      </c>
      <c r="H29" s="569" t="str">
        <f>CONCATENATE("Total ",E1," Resources Available")</f>
        <v>Total 0 Resources Available</v>
      </c>
      <c r="I29" s="585"/>
      <c r="J29" s="582"/>
    </row>
    <row r="30" spans="2:10" ht="15.75">
      <c r="B30" s="261"/>
      <c r="C30" s="411"/>
      <c r="D30" s="411"/>
      <c r="E30" s="66"/>
      <c r="G30" s="587"/>
      <c r="H30" s="569"/>
      <c r="I30" s="569"/>
      <c r="J30" s="582"/>
    </row>
    <row r="31" spans="2:10" ht="15.75">
      <c r="B31" s="261"/>
      <c r="C31" s="411"/>
      <c r="D31" s="411"/>
      <c r="E31" s="66"/>
      <c r="G31" s="586">
        <f>ROUND(C35*0.05+C35,0)</f>
        <v>0</v>
      </c>
      <c r="H31" s="569" t="str">
        <f>CONCATENATE("Less ",E1-2," Expenditures + 5%")</f>
        <v>Less -2 Expenditures + 5%</v>
      </c>
      <c r="I31" s="585"/>
      <c r="J31" s="602"/>
    </row>
    <row r="32" spans="2:10" ht="15.75">
      <c r="B32" s="250" t="str">
        <f>CONCATENATE("Cash Forward (",E1," column)")</f>
        <v>Cash Forward (0 column)</v>
      </c>
      <c r="C32" s="411"/>
      <c r="D32" s="411"/>
      <c r="E32" s="66"/>
      <c r="G32" s="588">
        <f>G29-G31</f>
        <v>0</v>
      </c>
      <c r="H32" s="589" t="str">
        <f>CONCATENATE("Projected ",E1+1," carryover (est.)")</f>
        <v>Projected 1 carryover (est.)</v>
      </c>
      <c r="I32" s="590"/>
      <c r="J32" s="591"/>
    </row>
    <row r="33" spans="2:10" ht="15.75">
      <c r="B33" s="250" t="s">
        <v>298</v>
      </c>
      <c r="C33" s="411"/>
      <c r="D33" s="411"/>
      <c r="E33" s="66"/>
      <c r="G33" s="581"/>
      <c r="H33" s="581"/>
      <c r="I33" s="581"/>
      <c r="J33" s="581"/>
    </row>
    <row r="34" spans="2:10" ht="15.75">
      <c r="B34" s="250" t="s">
        <v>299</v>
      </c>
      <c r="C34" s="384">
        <f>IF(C35*0.1&lt;C33,"Exceed 10% Rule","")</f>
      </c>
      <c r="D34" s="384">
        <f>IF(D35*0.1&lt;D33,"Exceed 10% Rule","")</f>
      </c>
      <c r="E34" s="277">
        <f>IF(E35*0.1&lt;E33,"Exceed 10% Rule","")</f>
      </c>
      <c r="G34" s="860" t="s">
        <v>815</v>
      </c>
      <c r="H34" s="861"/>
      <c r="I34" s="861"/>
      <c r="J34" s="862"/>
    </row>
    <row r="35" spans="2:10" ht="15.75">
      <c r="B35" s="252" t="s">
        <v>63</v>
      </c>
      <c r="C35" s="388">
        <f>SUM(C26:C33)</f>
        <v>0</v>
      </c>
      <c r="D35" s="388">
        <f>SUM(D26:D33)</f>
        <v>0</v>
      </c>
      <c r="E35" s="296">
        <f>SUM(E26:E33)</f>
        <v>0</v>
      </c>
      <c r="G35" s="592"/>
      <c r="H35" s="584"/>
      <c r="I35" s="593"/>
      <c r="J35" s="594"/>
    </row>
    <row r="36" spans="2:10" ht="15.75">
      <c r="B36" s="118" t="s">
        <v>195</v>
      </c>
      <c r="C36" s="383">
        <f>C24-C35</f>
        <v>0</v>
      </c>
      <c r="D36" s="383">
        <f>D24-D35</f>
        <v>0</v>
      </c>
      <c r="E36" s="270" t="s">
        <v>35</v>
      </c>
      <c r="G36" s="595" t="str">
        <f>summ!H29</f>
        <v>  </v>
      </c>
      <c r="H36" s="584" t="str">
        <f>CONCATENATE("",E1," Fund Mill Rate")</f>
        <v>0 Fund Mill Rate</v>
      </c>
      <c r="I36" s="593"/>
      <c r="J36" s="594"/>
    </row>
    <row r="37" spans="2:10" ht="15.75">
      <c r="B37" s="146" t="str">
        <f>CONCATENATE("",E1-2,"/",E1-1,"/",E1," Budget Authority Amount:")</f>
        <v>-2/-1/0 Budget Authority Amount:</v>
      </c>
      <c r="C37" s="272">
        <f>inputOth!B44</f>
        <v>0</v>
      </c>
      <c r="D37" s="272">
        <f>inputPrYr!D30</f>
        <v>0</v>
      </c>
      <c r="E37" s="209">
        <f>E35</f>
        <v>0</v>
      </c>
      <c r="F37" s="263"/>
      <c r="G37" s="596" t="str">
        <f>summ!E29</f>
        <v>  </v>
      </c>
      <c r="H37" s="584" t="str">
        <f>CONCATENATE("",E1-1," Fund Mill Rate")</f>
        <v>-1 Fund Mill Rate</v>
      </c>
      <c r="I37" s="593"/>
      <c r="J37" s="594"/>
    </row>
    <row r="38" spans="2:10" ht="15.75">
      <c r="B38" s="231"/>
      <c r="C38" s="856" t="s">
        <v>675</v>
      </c>
      <c r="D38" s="857"/>
      <c r="E38" s="66"/>
      <c r="F38" s="423">
        <f>IF(E35/0.95-E35&lt;E38,"Exceeds 5%","")</f>
      </c>
      <c r="G38" s="597">
        <f>summ!H52</f>
        <v>0</v>
      </c>
      <c r="H38" s="584" t="str">
        <f>CONCATENATE("Total ",E1," Mill Rate")</f>
        <v>Total 0 Mill Rate</v>
      </c>
      <c r="I38" s="593"/>
      <c r="J38" s="594"/>
    </row>
    <row r="39" spans="2:10" ht="15.75">
      <c r="B39" s="417" t="str">
        <f>CONCATENATE(C92,"     ",D92)</f>
        <v>     </v>
      </c>
      <c r="C39" s="858" t="s">
        <v>676</v>
      </c>
      <c r="D39" s="859"/>
      <c r="E39" s="209">
        <f>E35+E38</f>
        <v>0</v>
      </c>
      <c r="G39" s="596">
        <f>summ!E52</f>
        <v>0</v>
      </c>
      <c r="H39" s="598" t="str">
        <f>CONCATENATE("Total ",E1-1," Mill Rate")</f>
        <v>Total -1 Mill Rate</v>
      </c>
      <c r="I39" s="599"/>
      <c r="J39" s="600"/>
    </row>
    <row r="40" spans="2:10" ht="15.75">
      <c r="B40" s="417" t="str">
        <f>CONCATENATE(C93,"      ",D93)</f>
        <v>      </v>
      </c>
      <c r="C40" s="264"/>
      <c r="D40" s="79" t="s">
        <v>64</v>
      </c>
      <c r="E40" s="70">
        <f>IF(E39-E24&gt;0,E39-E24,0)</f>
        <v>0</v>
      </c>
      <c r="G40" s="581"/>
      <c r="H40" s="581"/>
      <c r="I40" s="581"/>
      <c r="J40" s="581"/>
    </row>
    <row r="41" spans="2:10" ht="15.75">
      <c r="B41" s="79"/>
      <c r="C41" s="402" t="s">
        <v>677</v>
      </c>
      <c r="D41" s="624">
        <f>inputOth!$E$24</f>
        <v>0</v>
      </c>
      <c r="E41" s="209">
        <f>ROUND(IF(D41&gt;0,(E40*D41),0),0)</f>
        <v>0</v>
      </c>
      <c r="G41" s="741" t="s">
        <v>964</v>
      </c>
      <c r="H41" s="742"/>
      <c r="I41" s="744"/>
      <c r="J41" s="743" t="str">
        <f>cert!F62</f>
        <v>No</v>
      </c>
    </row>
    <row r="42" spans="2:10" ht="15.75">
      <c r="B42" s="45"/>
      <c r="C42" s="854" t="str">
        <f>CONCATENATE("Amount of  ",$E$1-1," Ad Valorem Tax")</f>
        <v>Amount of  -1 Ad Valorem Tax</v>
      </c>
      <c r="D42" s="855"/>
      <c r="E42" s="282">
        <f>E40+E41</f>
        <v>0</v>
      </c>
      <c r="G42" s="758" t="str">
        <f>CONCATENATE("Computed ",E1," tax levy limit amount")</f>
        <v>Computed 0 tax levy limit amount</v>
      </c>
      <c r="H42" s="759"/>
      <c r="I42" s="759"/>
      <c r="J42" s="760">
        <f>computation!J42</f>
        <v>0</v>
      </c>
    </row>
    <row r="43" spans="2:10" ht="15.75">
      <c r="B43" s="45"/>
      <c r="C43" s="547"/>
      <c r="D43" s="45"/>
      <c r="E43" s="45"/>
      <c r="G43" s="761" t="str">
        <f>CONCATENATE("Total ",E1," tax levy amount")</f>
        <v>Total 0 tax levy amount</v>
      </c>
      <c r="H43" s="762"/>
      <c r="I43" s="762"/>
      <c r="J43" s="763">
        <f>summ!G52</f>
        <v>0</v>
      </c>
    </row>
    <row r="44" spans="2:10" ht="15.75">
      <c r="B44" s="45"/>
      <c r="C44" s="547"/>
      <c r="D44" s="45"/>
      <c r="E44" s="45"/>
      <c r="G44" s="581"/>
      <c r="H44" s="581"/>
      <c r="I44" s="581"/>
      <c r="J44" s="581"/>
    </row>
    <row r="45" spans="2:10" ht="15.75">
      <c r="B45" s="45"/>
      <c r="C45" s="110"/>
      <c r="D45" s="110"/>
      <c r="E45" s="110"/>
      <c r="G45" s="581"/>
      <c r="H45" s="581"/>
      <c r="I45" s="581"/>
      <c r="J45" s="581"/>
    </row>
    <row r="46" spans="2:10" ht="15.75">
      <c r="B46" s="44" t="s">
        <v>49</v>
      </c>
      <c r="C46" s="563" t="str">
        <f aca="true" t="shared" si="0" ref="C46:E47">C4</f>
        <v>Prior Year </v>
      </c>
      <c r="D46" s="564" t="str">
        <f t="shared" si="0"/>
        <v>Current Year </v>
      </c>
      <c r="E46" s="114" t="str">
        <f t="shared" si="0"/>
        <v>Proposed Budget </v>
      </c>
      <c r="G46" s="581"/>
      <c r="H46" s="581"/>
      <c r="I46" s="581"/>
      <c r="J46" s="581"/>
    </row>
    <row r="47" spans="2:10" ht="15.75">
      <c r="B47" s="405">
        <f>inputPrYr!$B$31</f>
        <v>0</v>
      </c>
      <c r="C47" s="386" t="str">
        <f t="shared" si="0"/>
        <v>Actual for -2</v>
      </c>
      <c r="D47" s="386" t="str">
        <f t="shared" si="0"/>
        <v>Estimate for -1</v>
      </c>
      <c r="E47" s="256" t="str">
        <f t="shared" si="0"/>
        <v>Year for 0</v>
      </c>
      <c r="G47" s="581"/>
      <c r="H47" s="581"/>
      <c r="I47" s="581"/>
      <c r="J47" s="581"/>
    </row>
    <row r="48" spans="2:10" ht="15.75">
      <c r="B48" s="118" t="s">
        <v>194</v>
      </c>
      <c r="C48" s="411"/>
      <c r="D48" s="385">
        <f>C78</f>
        <v>0</v>
      </c>
      <c r="E48" s="209">
        <f>D78</f>
        <v>0</v>
      </c>
      <c r="G48" s="581"/>
      <c r="H48" s="581"/>
      <c r="I48" s="581"/>
      <c r="J48" s="581"/>
    </row>
    <row r="49" spans="2:10" ht="15.75">
      <c r="B49" s="245" t="s">
        <v>196</v>
      </c>
      <c r="C49" s="132"/>
      <c r="D49" s="132"/>
      <c r="E49" s="81"/>
      <c r="G49" s="581"/>
      <c r="H49" s="581"/>
      <c r="I49" s="581"/>
      <c r="J49" s="581"/>
    </row>
    <row r="50" spans="2:10" ht="15.75">
      <c r="B50" s="118" t="s">
        <v>50</v>
      </c>
      <c r="C50" s="411"/>
      <c r="D50" s="385">
        <f>IF(inputPrYr!H30&gt;0,inputPrYr!H30,inputPrYr!E31)</f>
        <v>0</v>
      </c>
      <c r="E50" s="270" t="s">
        <v>35</v>
      </c>
      <c r="G50" s="581"/>
      <c r="H50" s="581"/>
      <c r="I50" s="581"/>
      <c r="J50" s="581"/>
    </row>
    <row r="51" spans="2:10" ht="15.75">
      <c r="B51" s="118" t="s">
        <v>51</v>
      </c>
      <c r="C51" s="411"/>
      <c r="D51" s="411"/>
      <c r="E51" s="66"/>
      <c r="G51" s="581"/>
      <c r="H51" s="581"/>
      <c r="I51" s="581"/>
      <c r="J51" s="581"/>
    </row>
    <row r="52" spans="2:10" ht="15.75">
      <c r="B52" s="118" t="s">
        <v>52</v>
      </c>
      <c r="C52" s="411"/>
      <c r="D52" s="411"/>
      <c r="E52" s="209" t="str">
        <f>mvalloc!E24</f>
        <v>  </v>
      </c>
      <c r="G52" s="581"/>
      <c r="H52" s="581"/>
      <c r="I52" s="581"/>
      <c r="J52" s="581"/>
    </row>
    <row r="53" spans="2:10" ht="15.75">
      <c r="B53" s="118" t="s">
        <v>53</v>
      </c>
      <c r="C53" s="411"/>
      <c r="D53" s="411"/>
      <c r="E53" s="209" t="str">
        <f>mvalloc!F24</f>
        <v>  </v>
      </c>
      <c r="G53" s="581"/>
      <c r="H53" s="581"/>
      <c r="I53" s="581"/>
      <c r="J53" s="581"/>
    </row>
    <row r="54" spans="2:10" ht="15.75">
      <c r="B54" s="132" t="s">
        <v>154</v>
      </c>
      <c r="C54" s="411"/>
      <c r="D54" s="411"/>
      <c r="E54" s="209" t="str">
        <f>mvalloc!G24</f>
        <v>  </v>
      </c>
      <c r="G54" s="581"/>
      <c r="H54" s="581"/>
      <c r="I54" s="581"/>
      <c r="J54" s="581"/>
    </row>
    <row r="55" spans="2:10" ht="15.75">
      <c r="B55" s="273" t="s">
        <v>955</v>
      </c>
      <c r="C55" s="411"/>
      <c r="D55" s="411"/>
      <c r="E55" s="209" t="str">
        <f>mvalloc!H24</f>
        <v> </v>
      </c>
      <c r="G55" s="581"/>
      <c r="H55" s="581"/>
      <c r="I55" s="581"/>
      <c r="J55" s="581"/>
    </row>
    <row r="56" spans="2:10" ht="15.75">
      <c r="B56" s="273" t="s">
        <v>956</v>
      </c>
      <c r="C56" s="411"/>
      <c r="D56" s="411"/>
      <c r="E56" s="209" t="str">
        <f>mvalloc!I24</f>
        <v> </v>
      </c>
      <c r="G56" s="581"/>
      <c r="H56" s="581"/>
      <c r="I56" s="581"/>
      <c r="J56" s="581"/>
    </row>
    <row r="57" spans="2:10" ht="15.75">
      <c r="B57" s="261"/>
      <c r="C57" s="411"/>
      <c r="D57" s="411"/>
      <c r="E57" s="66"/>
      <c r="G57" s="581"/>
      <c r="H57" s="581"/>
      <c r="I57" s="581"/>
      <c r="J57" s="581"/>
    </row>
    <row r="58" spans="2:10" ht="15.75">
      <c r="B58" s="261"/>
      <c r="C58" s="411"/>
      <c r="D58" s="411"/>
      <c r="E58" s="66"/>
      <c r="G58" s="581"/>
      <c r="H58" s="581"/>
      <c r="I58" s="581"/>
      <c r="J58" s="581"/>
    </row>
    <row r="59" spans="2:10" ht="15.75">
      <c r="B59" s="261"/>
      <c r="C59" s="411"/>
      <c r="D59" s="411"/>
      <c r="E59" s="66"/>
      <c r="G59" s="863" t="str">
        <f>CONCATENATE("Desired Carryover Into ",E1+1,"")</f>
        <v>Desired Carryover Into 1</v>
      </c>
      <c r="H59" s="864"/>
      <c r="I59" s="864"/>
      <c r="J59" s="833"/>
    </row>
    <row r="60" spans="2:10" ht="15.75">
      <c r="B60" s="261"/>
      <c r="C60" s="411"/>
      <c r="D60" s="411"/>
      <c r="E60" s="66"/>
      <c r="G60" s="567"/>
      <c r="H60" s="568"/>
      <c r="I60" s="569"/>
      <c r="J60" s="570"/>
    </row>
    <row r="61" spans="2:10" ht="15.75">
      <c r="B61" s="249" t="s">
        <v>57</v>
      </c>
      <c r="C61" s="411"/>
      <c r="D61" s="411"/>
      <c r="E61" s="66"/>
      <c r="G61" s="571" t="s">
        <v>683</v>
      </c>
      <c r="H61" s="569"/>
      <c r="I61" s="569"/>
      <c r="J61" s="572">
        <v>0</v>
      </c>
    </row>
    <row r="62" spans="2:10" ht="15.75">
      <c r="B62" s="250" t="s">
        <v>297</v>
      </c>
      <c r="C62" s="411"/>
      <c r="D62" s="411"/>
      <c r="E62" s="280">
        <f>Nhood!E20*-1</f>
        <v>0</v>
      </c>
      <c r="G62" s="567" t="s">
        <v>684</v>
      </c>
      <c r="H62" s="568"/>
      <c r="I62" s="568"/>
      <c r="J62" s="573">
        <f>IF(J61=0,"",ROUND((J61+E84-G74)/inputOth!E5*1000,3)-G79)</f>
      </c>
    </row>
    <row r="63" spans="2:10" ht="15.75">
      <c r="B63" s="250" t="s">
        <v>298</v>
      </c>
      <c r="C63" s="411"/>
      <c r="D63" s="411"/>
      <c r="E63" s="66"/>
      <c r="G63" s="574" t="str">
        <f>CONCATENATE("",E1," Tot Exp/Non-Appr Must Be:")</f>
        <v>0 Tot Exp/Non-Appr Must Be:</v>
      </c>
      <c r="H63" s="575"/>
      <c r="I63" s="576"/>
      <c r="J63" s="577">
        <f>IF(J61&gt;0,IF(E81&lt;E66,IF(J61=G74,E81,((J61-G74)*(1-D83))+E66),E81+(J61-G74)),0)</f>
        <v>0</v>
      </c>
    </row>
    <row r="64" spans="2:10" ht="15.75">
      <c r="B64" s="250" t="s">
        <v>300</v>
      </c>
      <c r="C64" s="384">
        <f>IF(C65*0.1&lt;C63,"Exceed 10% Rule","")</f>
      </c>
      <c r="D64" s="384">
        <f>IF(D65*0.1&lt;D63,"Exceed 10% Rule","")</f>
      </c>
      <c r="E64" s="277">
        <f>IF(E65*0.1+E84&lt;E63,"Exceed 10% Rule","")</f>
      </c>
      <c r="G64" s="578" t="s">
        <v>814</v>
      </c>
      <c r="H64" s="579"/>
      <c r="I64" s="579"/>
      <c r="J64" s="580">
        <f>IF(J61&gt;0,J63-E81,0)</f>
        <v>0</v>
      </c>
    </row>
    <row r="65" spans="2:10" ht="15.75">
      <c r="B65" s="252" t="s">
        <v>58</v>
      </c>
      <c r="C65" s="388">
        <f>SUM(C50:C63)</f>
        <v>0</v>
      </c>
      <c r="D65" s="388">
        <f>SUM(D50:D63)</f>
        <v>0</v>
      </c>
      <c r="E65" s="296">
        <f>SUM(E50:E63)</f>
        <v>0</v>
      </c>
      <c r="G65" s="581"/>
      <c r="H65" s="581"/>
      <c r="I65" s="581"/>
      <c r="J65" s="581"/>
    </row>
    <row r="66" spans="2:10" ht="15.75">
      <c r="B66" s="252" t="s">
        <v>59</v>
      </c>
      <c r="C66" s="388">
        <f>C48+C65</f>
        <v>0</v>
      </c>
      <c r="D66" s="388">
        <f>D48+D65</f>
        <v>0</v>
      </c>
      <c r="E66" s="296">
        <f>E48+E65</f>
        <v>0</v>
      </c>
      <c r="G66" s="863" t="str">
        <f>CONCATENATE("Projected Carryover Into ",E1+1,"")</f>
        <v>Projected Carryover Into 1</v>
      </c>
      <c r="H66" s="869"/>
      <c r="I66" s="869"/>
      <c r="J66" s="868"/>
    </row>
    <row r="67" spans="2:10" ht="15.75">
      <c r="B67" s="118" t="s">
        <v>62</v>
      </c>
      <c r="C67" s="250"/>
      <c r="D67" s="250"/>
      <c r="E67" s="128"/>
      <c r="G67" s="601"/>
      <c r="H67" s="568"/>
      <c r="I67" s="568"/>
      <c r="J67" s="602"/>
    </row>
    <row r="68" spans="2:10" ht="15.75">
      <c r="B68" s="261"/>
      <c r="C68" s="411"/>
      <c r="D68" s="411"/>
      <c r="E68" s="66"/>
      <c r="G68" s="583">
        <f>D78</f>
        <v>0</v>
      </c>
      <c r="H68" s="584" t="str">
        <f>CONCATENATE("",E1-1," Ending Cash Balance (est.)")</f>
        <v>-1 Ending Cash Balance (est.)</v>
      </c>
      <c r="I68" s="585"/>
      <c r="J68" s="602"/>
    </row>
    <row r="69" spans="2:10" ht="15.75">
      <c r="B69" s="261"/>
      <c r="C69" s="411"/>
      <c r="D69" s="411"/>
      <c r="E69" s="66"/>
      <c r="G69" s="583">
        <f>E65</f>
        <v>0</v>
      </c>
      <c r="H69" s="569" t="str">
        <f>CONCATENATE("",E1," Non-AV Receipts (est.)")</f>
        <v>0 Non-AV Receipts (est.)</v>
      </c>
      <c r="I69" s="585"/>
      <c r="J69" s="602"/>
    </row>
    <row r="70" spans="2:11" ht="15.75">
      <c r="B70" s="261"/>
      <c r="C70" s="411"/>
      <c r="D70" s="411"/>
      <c r="E70" s="66"/>
      <c r="G70" s="586">
        <f>IF(E83&gt;0,E82,E84)</f>
        <v>0</v>
      </c>
      <c r="H70" s="569" t="str">
        <f>CONCATENATE("",E1," Ad Valorem Tax (est.)")</f>
        <v>0 Ad Valorem Tax (est.)</v>
      </c>
      <c r="I70" s="585"/>
      <c r="J70" s="602"/>
      <c r="K70" s="622">
        <f>IF(G70=E84,"","Note: Does not include Delinquent Taxes")</f>
      </c>
    </row>
    <row r="71" spans="2:10" ht="15.75">
      <c r="B71" s="261"/>
      <c r="C71" s="411"/>
      <c r="D71" s="411"/>
      <c r="E71" s="66"/>
      <c r="G71" s="603">
        <f>SUM(G68:G70)</f>
        <v>0</v>
      </c>
      <c r="H71" s="569" t="str">
        <f>CONCATENATE("Total ",E1," Resources Available")</f>
        <v>Total 0 Resources Available</v>
      </c>
      <c r="I71" s="604"/>
      <c r="J71" s="602"/>
    </row>
    <row r="72" spans="2:10" ht="15.75">
      <c r="B72" s="261"/>
      <c r="C72" s="411"/>
      <c r="D72" s="411"/>
      <c r="E72" s="66"/>
      <c r="G72" s="605"/>
      <c r="H72" s="606"/>
      <c r="I72" s="568"/>
      <c r="J72" s="602"/>
    </row>
    <row r="73" spans="2:10" ht="15.75">
      <c r="B73" s="261"/>
      <c r="C73" s="411"/>
      <c r="D73" s="411"/>
      <c r="E73" s="66"/>
      <c r="G73" s="607">
        <f>ROUND(C77*0.05+C77,0)</f>
        <v>0</v>
      </c>
      <c r="H73" s="569" t="str">
        <f>CONCATENATE("Less ",E1-2," Expenditures + 5%")</f>
        <v>Less -2 Expenditures + 5%</v>
      </c>
      <c r="I73" s="604"/>
      <c r="J73" s="602"/>
    </row>
    <row r="74" spans="2:10" ht="15.75">
      <c r="B74" s="250" t="str">
        <f>CONCATENATE("Cash Forward (",E1," column)")</f>
        <v>Cash Forward (0 column)</v>
      </c>
      <c r="C74" s="411"/>
      <c r="D74" s="411"/>
      <c r="E74" s="66"/>
      <c r="G74" s="608">
        <f>G71-G73</f>
        <v>0</v>
      </c>
      <c r="H74" s="589" t="str">
        <f>CONCATENATE("Projected ",E1+1," carryover (est.)")</f>
        <v>Projected 1 carryover (est.)</v>
      </c>
      <c r="I74" s="609"/>
      <c r="J74" s="610"/>
    </row>
    <row r="75" spans="2:10" ht="15.75">
      <c r="B75" s="250" t="s">
        <v>298</v>
      </c>
      <c r="C75" s="411"/>
      <c r="D75" s="411"/>
      <c r="E75" s="66"/>
      <c r="G75" s="581"/>
      <c r="H75" s="581"/>
      <c r="I75" s="581"/>
      <c r="J75" s="581"/>
    </row>
    <row r="76" spans="2:10" ht="15.75">
      <c r="B76" s="250" t="s">
        <v>299</v>
      </c>
      <c r="C76" s="384">
        <f>IF(C77*0.1&lt;C75,"Exceed 10% Rule","")</f>
      </c>
      <c r="D76" s="384">
        <f>IF(D77*0.1&lt;D75,"Exceed 10% Rule","")</f>
      </c>
      <c r="E76" s="277">
        <f>IF(E77*0.1&lt;E75,"Exceed 10% Rule","")</f>
      </c>
      <c r="G76" s="860" t="s">
        <v>815</v>
      </c>
      <c r="H76" s="861"/>
      <c r="I76" s="861"/>
      <c r="J76" s="862"/>
    </row>
    <row r="77" spans="2:10" ht="15.75">
      <c r="B77" s="252" t="s">
        <v>63</v>
      </c>
      <c r="C77" s="388">
        <f>SUM(C68:C75)</f>
        <v>0</v>
      </c>
      <c r="D77" s="388">
        <f>SUM(D68:D75)</f>
        <v>0</v>
      </c>
      <c r="E77" s="296">
        <f>SUM(E68:E75)</f>
        <v>0</v>
      </c>
      <c r="G77" s="592"/>
      <c r="H77" s="584"/>
      <c r="I77" s="593"/>
      <c r="J77" s="594"/>
    </row>
    <row r="78" spans="2:10" ht="15.75">
      <c r="B78" s="118" t="s">
        <v>195</v>
      </c>
      <c r="C78" s="383">
        <f>C66-C77</f>
        <v>0</v>
      </c>
      <c r="D78" s="383">
        <f>D66-D77</f>
        <v>0</v>
      </c>
      <c r="E78" s="270" t="s">
        <v>35</v>
      </c>
      <c r="G78" s="595" t="str">
        <f>summ!H30</f>
        <v>  </v>
      </c>
      <c r="H78" s="584" t="str">
        <f>CONCATENATE("",E1," Fund Mill Rate")</f>
        <v>0 Fund Mill Rate</v>
      </c>
      <c r="I78" s="593"/>
      <c r="J78" s="594"/>
    </row>
    <row r="79" spans="2:10" ht="15.75">
      <c r="B79" s="146" t="str">
        <f>CONCATENATE("",E1-2,"/",E1-1,"/",E1," Budget Authority Amount:")</f>
        <v>-2/-1/0 Budget Authority Amount:</v>
      </c>
      <c r="C79" s="272">
        <f>inputOth!B45</f>
        <v>0</v>
      </c>
      <c r="D79" s="272">
        <f>inputPrYr!D31</f>
        <v>0</v>
      </c>
      <c r="E79" s="209">
        <f>E77</f>
        <v>0</v>
      </c>
      <c r="F79" s="263"/>
      <c r="G79" s="596" t="str">
        <f>summ!E30</f>
        <v>  </v>
      </c>
      <c r="H79" s="584" t="str">
        <f>CONCATENATE("",E1-1," Fund Mill Rate")</f>
        <v>-1 Fund Mill Rate</v>
      </c>
      <c r="I79" s="593"/>
      <c r="J79" s="594"/>
    </row>
    <row r="80" spans="2:10" ht="15.75">
      <c r="B80" s="231"/>
      <c r="C80" s="856" t="s">
        <v>675</v>
      </c>
      <c r="D80" s="857"/>
      <c r="E80" s="66"/>
      <c r="F80" s="423">
        <f>IF(E77/0.95-E77&lt;E80,"Exceeds 5%","")</f>
      </c>
      <c r="G80" s="597">
        <f>summ!H52</f>
        <v>0</v>
      </c>
      <c r="H80" s="584" t="str">
        <f>CONCATENATE("Total ",E1," Mill Rate")</f>
        <v>Total 0 Mill Rate</v>
      </c>
      <c r="I80" s="593"/>
      <c r="J80" s="594"/>
    </row>
    <row r="81" spans="2:10" ht="15.75">
      <c r="B81" s="417" t="str">
        <f>CONCATENATE(C94,"      ",D94)</f>
        <v>      </v>
      </c>
      <c r="C81" s="858" t="s">
        <v>676</v>
      </c>
      <c r="D81" s="859"/>
      <c r="E81" s="209">
        <f>E77+E80</f>
        <v>0</v>
      </c>
      <c r="G81" s="596">
        <f>summ!E52</f>
        <v>0</v>
      </c>
      <c r="H81" s="598" t="str">
        <f>CONCATENATE("Total ",E1-1," Mill Rate")</f>
        <v>Total -1 Mill Rate</v>
      </c>
      <c r="I81" s="599"/>
      <c r="J81" s="600"/>
    </row>
    <row r="82" spans="2:5" ht="15.75">
      <c r="B82" s="417" t="str">
        <f>CONCATENATE(C95,"      ",D95)</f>
        <v>      </v>
      </c>
      <c r="C82" s="264"/>
      <c r="D82" s="79" t="s">
        <v>64</v>
      </c>
      <c r="E82" s="70">
        <f>IF(E81-E66&gt;0,E81-E66,0)</f>
        <v>0</v>
      </c>
    </row>
    <row r="83" spans="2:10" ht="15.75">
      <c r="B83" s="79"/>
      <c r="C83" s="402" t="s">
        <v>677</v>
      </c>
      <c r="D83" s="624">
        <f>inputOth!$E$24</f>
        <v>0</v>
      </c>
      <c r="E83" s="209">
        <f>ROUND(IF(D83&gt;0,(E82*D83),0),0)</f>
        <v>0</v>
      </c>
      <c r="G83" s="741" t="s">
        <v>964</v>
      </c>
      <c r="H83" s="742"/>
      <c r="I83" s="744"/>
      <c r="J83" s="743" t="str">
        <f>cert!F62</f>
        <v>No</v>
      </c>
    </row>
    <row r="84" spans="2:10" ht="15.75">
      <c r="B84" s="45"/>
      <c r="C84" s="854" t="str">
        <f>CONCATENATE("Amount of  ",$E$1-1," Ad Valorem Tax")</f>
        <v>Amount of  -1 Ad Valorem Tax</v>
      </c>
      <c r="D84" s="855"/>
      <c r="E84" s="282">
        <f>E82+E83</f>
        <v>0</v>
      </c>
      <c r="G84" s="745" t="str">
        <f>CONCATENATE("Computed ",E1," tax levy limit amount")</f>
        <v>Computed 0 tax levy limit amount</v>
      </c>
      <c r="H84" s="746"/>
      <c r="I84" s="746"/>
      <c r="J84" s="747">
        <f>computation!J42</f>
        <v>0</v>
      </c>
    </row>
    <row r="85" spans="2:10" ht="15.75">
      <c r="B85" s="265" t="s">
        <v>115</v>
      </c>
      <c r="C85" s="709"/>
      <c r="D85" s="45"/>
      <c r="E85" s="45"/>
      <c r="G85" s="748" t="str">
        <f>CONCATENATE("Total ",E1," tax levy amount")</f>
        <v>Total 0 tax levy amount</v>
      </c>
      <c r="H85" s="749"/>
      <c r="I85" s="749"/>
      <c r="J85" s="750">
        <f>summ!G52</f>
        <v>0</v>
      </c>
    </row>
    <row r="92" spans="3:4" ht="15.75" hidden="1">
      <c r="C92" s="31">
        <f>IF(C35&gt;C37,"See Tab A","")</f>
      </c>
      <c r="D92" s="31">
        <f>IF(D35&gt;D37,"See Tab C","")</f>
      </c>
    </row>
    <row r="93" spans="3:4" ht="15.75" hidden="1">
      <c r="C93" s="31">
        <f>IF(C36&lt;0,"See Tab B","")</f>
      </c>
      <c r="D93" s="31">
        <f>IF(D36&lt;0,"See Tab D","")</f>
      </c>
    </row>
    <row r="94" spans="3:4" ht="15.75" hidden="1">
      <c r="C94" s="31">
        <f>IF(C77&gt;C79,"See Tab A","")</f>
      </c>
      <c r="D94" s="31">
        <f>IF(D77&gt;D79,"See Tab C","")</f>
      </c>
    </row>
    <row r="95" spans="3:4" ht="15.75" hidden="1">
      <c r="C95" s="31">
        <f>IF(C78&lt;0,"See Tab B","")</f>
      </c>
      <c r="D95" s="31">
        <f>IF(D78&lt;0,"See Tab D","")</f>
      </c>
    </row>
  </sheetData>
  <sheetProtection sheet="1"/>
  <mergeCells count="12">
    <mergeCell ref="G17:J17"/>
    <mergeCell ref="G24:J24"/>
    <mergeCell ref="G34:J34"/>
    <mergeCell ref="G59:J59"/>
    <mergeCell ref="G66:J66"/>
    <mergeCell ref="G76:J76"/>
    <mergeCell ref="C38:D38"/>
    <mergeCell ref="C39:D39"/>
    <mergeCell ref="C80:D80"/>
    <mergeCell ref="C81:D81"/>
    <mergeCell ref="C84:D84"/>
    <mergeCell ref="C42:D42"/>
  </mergeCells>
  <conditionalFormatting sqref="E38">
    <cfRule type="cellIs" priority="3" dxfId="351" operator="greaterThan" stopIfTrue="1">
      <formula>$E$35/0.95-$E$35</formula>
    </cfRule>
  </conditionalFormatting>
  <conditionalFormatting sqref="E80">
    <cfRule type="cellIs" priority="4" dxfId="351" operator="greaterThan" stopIfTrue="1">
      <formula>$E$77/0.95-$E$77</formula>
    </cfRule>
  </conditionalFormatting>
  <conditionalFormatting sqref="E75">
    <cfRule type="cellIs" priority="5" dxfId="351" operator="greaterThan" stopIfTrue="1">
      <formula>$E$77*0.1</formula>
    </cfRule>
  </conditionalFormatting>
  <conditionalFormatting sqref="C21">
    <cfRule type="cellIs" priority="6" dxfId="351" operator="greaterThan" stopIfTrue="1">
      <formula>$C$23*0.1</formula>
    </cfRule>
  </conditionalFormatting>
  <conditionalFormatting sqref="D21">
    <cfRule type="cellIs" priority="7" dxfId="351" operator="greaterThan" stopIfTrue="1">
      <formula>$D$23*0.1</formula>
    </cfRule>
  </conditionalFormatting>
  <conditionalFormatting sqref="E33">
    <cfRule type="cellIs" priority="8" dxfId="351" operator="greaterThan" stopIfTrue="1">
      <formula>$E$35*0.1</formula>
    </cfRule>
  </conditionalFormatting>
  <conditionalFormatting sqref="E21">
    <cfRule type="cellIs" priority="9" dxfId="351" operator="greaterThan" stopIfTrue="1">
      <formula>$E$23*0.1+E42</formula>
    </cfRule>
  </conditionalFormatting>
  <conditionalFormatting sqref="E63">
    <cfRule type="cellIs" priority="10" dxfId="351" operator="greaterThan" stopIfTrue="1">
      <formula>$E$65*0.1+E84</formula>
    </cfRule>
  </conditionalFormatting>
  <conditionalFormatting sqref="C75">
    <cfRule type="cellIs" priority="11" dxfId="2" operator="greaterThan" stopIfTrue="1">
      <formula>$C$77*0.1</formula>
    </cfRule>
  </conditionalFormatting>
  <conditionalFormatting sqref="D75">
    <cfRule type="cellIs" priority="12" dxfId="2" operator="greaterThan" stopIfTrue="1">
      <formula>$D$77*0.1</formula>
    </cfRule>
  </conditionalFormatting>
  <conditionalFormatting sqref="C78 C36">
    <cfRule type="cellIs" priority="13" dxfId="2" operator="lessThan" stopIfTrue="1">
      <formula>0</formula>
    </cfRule>
  </conditionalFormatting>
  <conditionalFormatting sqref="C77">
    <cfRule type="cellIs" priority="14" dxfId="2" operator="greaterThan" stopIfTrue="1">
      <formula>$C$79</formula>
    </cfRule>
  </conditionalFormatting>
  <conditionalFormatting sqref="D77">
    <cfRule type="cellIs" priority="15" dxfId="2" operator="greaterThan" stopIfTrue="1">
      <formula>$D$79</formula>
    </cfRule>
  </conditionalFormatting>
  <conditionalFormatting sqref="C35">
    <cfRule type="cellIs" priority="16" dxfId="2" operator="greaterThan" stopIfTrue="1">
      <formula>$C$37</formula>
    </cfRule>
  </conditionalFormatting>
  <conditionalFormatting sqref="D35">
    <cfRule type="cellIs" priority="17" dxfId="2" operator="greaterThan" stopIfTrue="1">
      <formula>$D$37</formula>
    </cfRule>
  </conditionalFormatting>
  <conditionalFormatting sqref="D63">
    <cfRule type="cellIs" priority="18" dxfId="2" operator="greaterThan" stopIfTrue="1">
      <formula>$D$65*0.1</formula>
    </cfRule>
  </conditionalFormatting>
  <conditionalFormatting sqref="C63">
    <cfRule type="cellIs" priority="19" dxfId="2" operator="greaterThan" stopIfTrue="1">
      <formula>$C$65*0.1</formula>
    </cfRule>
  </conditionalFormatting>
  <conditionalFormatting sqref="C33">
    <cfRule type="cellIs" priority="20" dxfId="2" operator="greaterThan" stopIfTrue="1">
      <formula>$C$35*0.1</formula>
    </cfRule>
  </conditionalFormatting>
  <conditionalFormatting sqref="D33">
    <cfRule type="cellIs" priority="21" dxfId="2" operator="greaterThan" stopIfTrue="1">
      <formula>$D$35*0.1</formula>
    </cfRule>
  </conditionalFormatting>
  <conditionalFormatting sqref="D36 D78">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7" r:id="rId1"/>
  <headerFooter alignWithMargins="0">
    <oddHeader>&amp;RState of Kansas
County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Q142" sqref="Q142"/>
    </sheetView>
  </sheetViews>
  <sheetFormatPr defaultColWidth="8.796875" defaultRowHeight="15"/>
  <cols>
    <col min="1" max="1" width="2.3984375" style="31" customWidth="1"/>
    <col min="2" max="2" width="31.09765625" style="31" customWidth="1"/>
    <col min="3" max="4" width="15.796875" style="31" customWidth="1"/>
    <col min="5" max="5" width="16.296875" style="31" customWidth="1"/>
    <col min="6" max="6" width="8.8984375" style="31" customWidth="1"/>
    <col min="7" max="7" width="10.19921875" style="31" customWidth="1"/>
    <col min="8" max="8" width="8.8984375" style="31" customWidth="1"/>
    <col min="9" max="9" width="5.8984375" style="31" customWidth="1"/>
    <col min="10" max="10" width="10" style="31" customWidth="1"/>
    <col min="11" max="16384" width="8.8984375" style="31" customWidth="1"/>
  </cols>
  <sheetData>
    <row r="1" spans="2:5" ht="15.75">
      <c r="B1" s="160">
        <f>(inputPrYr!C3)</f>
        <v>0</v>
      </c>
      <c r="C1" s="45"/>
      <c r="D1" s="45"/>
      <c r="E1" s="230">
        <f>inputPrYr!C5</f>
        <v>0</v>
      </c>
    </row>
    <row r="2" spans="2:5" ht="15.75">
      <c r="B2" s="169"/>
      <c r="C2" s="266"/>
      <c r="D2" s="266"/>
      <c r="E2" s="267"/>
    </row>
    <row r="3" spans="2:5" ht="15.75">
      <c r="B3" s="414" t="s">
        <v>162</v>
      </c>
      <c r="C3" s="110"/>
      <c r="D3" s="110"/>
      <c r="E3" s="110"/>
    </row>
    <row r="4" spans="2:5" ht="15.75">
      <c r="B4" s="44" t="s">
        <v>49</v>
      </c>
      <c r="C4" s="563" t="s">
        <v>811</v>
      </c>
      <c r="D4" s="564" t="s">
        <v>812</v>
      </c>
      <c r="E4" s="114" t="s">
        <v>813</v>
      </c>
    </row>
    <row r="5" spans="2:5" ht="15.75">
      <c r="B5" s="405">
        <f>inputPrYr!$B$32</f>
        <v>0</v>
      </c>
      <c r="C5" s="386" t="str">
        <f>CONCATENATE("Actual for ",E1-2,"")</f>
        <v>Actual for -2</v>
      </c>
      <c r="D5" s="386" t="str">
        <f>CONCATENATE("Estimate for ",E1-1,"")</f>
        <v>Estimate for -1</v>
      </c>
      <c r="E5" s="244" t="str">
        <f>CONCATENATE("Year for ",E1,"")</f>
        <v>Year for 0</v>
      </c>
    </row>
    <row r="6" spans="2:5" ht="15.75">
      <c r="B6" s="118" t="s">
        <v>194</v>
      </c>
      <c r="C6" s="411"/>
      <c r="D6" s="385">
        <f>C36</f>
        <v>0</v>
      </c>
      <c r="E6" s="209">
        <f>D36</f>
        <v>0</v>
      </c>
    </row>
    <row r="7" spans="2:5" ht="15.75">
      <c r="B7" s="234" t="s">
        <v>196</v>
      </c>
      <c r="C7" s="132"/>
      <c r="D7" s="132"/>
      <c r="E7" s="81"/>
    </row>
    <row r="8" spans="2:5" ht="15.75">
      <c r="B8" s="118" t="s">
        <v>50</v>
      </c>
      <c r="C8" s="411"/>
      <c r="D8" s="385">
        <f>inputPrYr!E32</f>
        <v>0</v>
      </c>
      <c r="E8" s="270" t="s">
        <v>35</v>
      </c>
    </row>
    <row r="9" spans="2:5" ht="15.75">
      <c r="B9" s="118" t="s">
        <v>51</v>
      </c>
      <c r="C9" s="411"/>
      <c r="D9" s="411"/>
      <c r="E9" s="66"/>
    </row>
    <row r="10" spans="2:5" ht="15.75">
      <c r="B10" s="118" t="s">
        <v>52</v>
      </c>
      <c r="C10" s="411"/>
      <c r="D10" s="411"/>
      <c r="E10" s="209" t="str">
        <f>mvalloc!E25</f>
        <v>  </v>
      </c>
    </row>
    <row r="11" spans="2:5" ht="15.75">
      <c r="B11" s="118" t="s">
        <v>53</v>
      </c>
      <c r="C11" s="411"/>
      <c r="D11" s="411"/>
      <c r="E11" s="209" t="str">
        <f>mvalloc!F25</f>
        <v>  </v>
      </c>
    </row>
    <row r="12" spans="2:5" ht="15.75">
      <c r="B12" s="132" t="s">
        <v>154</v>
      </c>
      <c r="C12" s="411"/>
      <c r="D12" s="411"/>
      <c r="E12" s="209" t="str">
        <f>mvalloc!G25</f>
        <v>  </v>
      </c>
    </row>
    <row r="13" spans="2:5" ht="15.75">
      <c r="B13" s="273" t="s">
        <v>955</v>
      </c>
      <c r="C13" s="411"/>
      <c r="D13" s="411"/>
      <c r="E13" s="209" t="str">
        <f>mvalloc!H25</f>
        <v> </v>
      </c>
    </row>
    <row r="14" spans="2:5" ht="15.75">
      <c r="B14" s="273" t="s">
        <v>956</v>
      </c>
      <c r="C14" s="411"/>
      <c r="D14" s="411"/>
      <c r="E14" s="209" t="str">
        <f>mvalloc!I25</f>
        <v> </v>
      </c>
    </row>
    <row r="15" spans="2:5" ht="15.75">
      <c r="B15" s="261"/>
      <c r="C15" s="411"/>
      <c r="D15" s="411"/>
      <c r="E15" s="66"/>
    </row>
    <row r="16" spans="2:5" ht="15.75">
      <c r="B16" s="261"/>
      <c r="C16" s="411"/>
      <c r="D16" s="411"/>
      <c r="E16" s="66"/>
    </row>
    <row r="17" spans="2:10" ht="15.75">
      <c r="B17" s="261"/>
      <c r="C17" s="411"/>
      <c r="D17" s="411"/>
      <c r="E17" s="66"/>
      <c r="G17" s="863" t="str">
        <f>CONCATENATE("Desired Carryover Into ",E1+1,"")</f>
        <v>Desired Carryover Into 1</v>
      </c>
      <c r="H17" s="864"/>
      <c r="I17" s="864"/>
      <c r="J17" s="833"/>
    </row>
    <row r="18" spans="2:10" ht="15.75">
      <c r="B18" s="261"/>
      <c r="C18" s="411"/>
      <c r="D18" s="411"/>
      <c r="E18" s="66"/>
      <c r="G18" s="567"/>
      <c r="H18" s="568"/>
      <c r="I18" s="569"/>
      <c r="J18" s="570"/>
    </row>
    <row r="19" spans="2:10" ht="15.75">
      <c r="B19" s="249" t="s">
        <v>57</v>
      </c>
      <c r="C19" s="411"/>
      <c r="D19" s="411"/>
      <c r="E19" s="66"/>
      <c r="G19" s="571" t="s">
        <v>683</v>
      </c>
      <c r="H19" s="569"/>
      <c r="I19" s="569"/>
      <c r="J19" s="572">
        <v>0</v>
      </c>
    </row>
    <row r="20" spans="2:10" ht="15.75">
      <c r="B20" s="250" t="s">
        <v>297</v>
      </c>
      <c r="C20" s="411"/>
      <c r="D20" s="411"/>
      <c r="E20" s="280">
        <f>Nhood!E21*-1</f>
        <v>0</v>
      </c>
      <c r="G20" s="567" t="s">
        <v>684</v>
      </c>
      <c r="H20" s="568"/>
      <c r="I20" s="568"/>
      <c r="J20" s="573">
        <f>IF(J19=0,"",ROUND((J19+E42-G32)/inputOth!E5*1000,3)-G37)</f>
      </c>
    </row>
    <row r="21" spans="2:10" ht="15.75">
      <c r="B21" s="250" t="s">
        <v>298</v>
      </c>
      <c r="C21" s="411"/>
      <c r="D21" s="411"/>
      <c r="E21" s="66"/>
      <c r="G21" s="574" t="str">
        <f>CONCATENATE("",E1," Tot Exp/Non-Appr Must Be:")</f>
        <v>0 Tot Exp/Non-Appr Must Be:</v>
      </c>
      <c r="H21" s="575"/>
      <c r="I21" s="576"/>
      <c r="J21" s="577">
        <f>IF(J19&gt;0,IF(E39&lt;E24,IF(J19=G32,E39,((J19-G32)*(1-D41))+E24),E39+(J19-G32)),0)</f>
        <v>0</v>
      </c>
    </row>
    <row r="22" spans="2:10" ht="15.75">
      <c r="B22" s="250" t="s">
        <v>300</v>
      </c>
      <c r="C22" s="384">
        <f>IF(C23*0.1&lt;C21,"Exceed 10% Rule","")</f>
      </c>
      <c r="D22" s="384">
        <f>IF(D23*0.1&lt;D21,"Exceed 10% Rule","")</f>
      </c>
      <c r="E22" s="277">
        <f>IF(E23*0.1+E42&lt;E21,"Exceed 10% Rule","")</f>
      </c>
      <c r="G22" s="578" t="s">
        <v>814</v>
      </c>
      <c r="H22" s="579"/>
      <c r="I22" s="579"/>
      <c r="J22" s="580">
        <f>IF(J19&gt;0,J21-E39,0)</f>
        <v>0</v>
      </c>
    </row>
    <row r="23" spans="2:10" ht="15.75">
      <c r="B23" s="252" t="s">
        <v>58</v>
      </c>
      <c r="C23" s="412">
        <f>SUM(C8:C21)</f>
        <v>0</v>
      </c>
      <c r="D23" s="412">
        <f>SUM(D8:D21)</f>
        <v>0</v>
      </c>
      <c r="E23" s="298">
        <f>SUM(E8:E21)</f>
        <v>0</v>
      </c>
      <c r="G23" s="581"/>
      <c r="H23" s="581"/>
      <c r="I23" s="581"/>
      <c r="J23" s="581"/>
    </row>
    <row r="24" spans="2:10" ht="15.75">
      <c r="B24" s="252" t="s">
        <v>59</v>
      </c>
      <c r="C24" s="412">
        <f>C6+C23</f>
        <v>0</v>
      </c>
      <c r="D24" s="412">
        <f>D6+D23</f>
        <v>0</v>
      </c>
      <c r="E24" s="298">
        <f>E6+E23</f>
        <v>0</v>
      </c>
      <c r="G24" s="863" t="str">
        <f>CONCATENATE("Projected Carryover Into ",E1+1,"")</f>
        <v>Projected Carryover Into 1</v>
      </c>
      <c r="H24" s="867"/>
      <c r="I24" s="867"/>
      <c r="J24" s="868"/>
    </row>
    <row r="25" spans="2:10" ht="15.75">
      <c r="B25" s="118" t="s">
        <v>62</v>
      </c>
      <c r="C25" s="250"/>
      <c r="D25" s="250"/>
      <c r="E25" s="128"/>
      <c r="G25" s="567"/>
      <c r="H25" s="569"/>
      <c r="I25" s="569"/>
      <c r="J25" s="582"/>
    </row>
    <row r="26" spans="2:10" ht="15.75">
      <c r="B26" s="261"/>
      <c r="C26" s="411"/>
      <c r="D26" s="411"/>
      <c r="E26" s="66"/>
      <c r="G26" s="583">
        <f>D36</f>
        <v>0</v>
      </c>
      <c r="H26" s="584" t="str">
        <f>CONCATENATE("",E1-1," Ending Cash Balance (est.)")</f>
        <v>-1 Ending Cash Balance (est.)</v>
      </c>
      <c r="I26" s="585"/>
      <c r="J26" s="582"/>
    </row>
    <row r="27" spans="2:10" ht="15.75">
      <c r="B27" s="261"/>
      <c r="C27" s="411"/>
      <c r="D27" s="411"/>
      <c r="E27" s="66"/>
      <c r="G27" s="583">
        <f>E23</f>
        <v>0</v>
      </c>
      <c r="H27" s="569" t="str">
        <f>CONCATENATE("",E1," Non-AV Receipts (est.)")</f>
        <v>0 Non-AV Receipts (est.)</v>
      </c>
      <c r="I27" s="585"/>
      <c r="J27" s="582"/>
    </row>
    <row r="28" spans="2:11" ht="15.75">
      <c r="B28" s="261"/>
      <c r="C28" s="411"/>
      <c r="D28" s="411"/>
      <c r="E28" s="66"/>
      <c r="G28" s="586">
        <f>IF(E41&gt;0,E40,E42)</f>
        <v>0</v>
      </c>
      <c r="H28" s="569" t="str">
        <f>CONCATENATE("",E1," Ad Valorem Tax (est.)")</f>
        <v>0 Ad Valorem Tax (est.)</v>
      </c>
      <c r="I28" s="585"/>
      <c r="J28" s="582"/>
      <c r="K28" s="622">
        <f>IF(G28=E42,"","Note: Does not include Delinquent Taxes")</f>
      </c>
    </row>
    <row r="29" spans="2:10" ht="15.75">
      <c r="B29" s="261"/>
      <c r="C29" s="411"/>
      <c r="D29" s="411"/>
      <c r="E29" s="66"/>
      <c r="G29" s="583">
        <f>SUM(G26:G28)</f>
        <v>0</v>
      </c>
      <c r="H29" s="569" t="str">
        <f>CONCATENATE("Total ",E1," Resources Available")</f>
        <v>Total 0 Resources Available</v>
      </c>
      <c r="I29" s="585"/>
      <c r="J29" s="582"/>
    </row>
    <row r="30" spans="2:10" ht="15.75">
      <c r="B30" s="261"/>
      <c r="C30" s="411"/>
      <c r="D30" s="411"/>
      <c r="E30" s="66"/>
      <c r="G30" s="587"/>
      <c r="H30" s="569"/>
      <c r="I30" s="569"/>
      <c r="J30" s="582"/>
    </row>
    <row r="31" spans="2:10" ht="15.75">
      <c r="B31" s="261"/>
      <c r="C31" s="411"/>
      <c r="D31" s="411"/>
      <c r="E31" s="66"/>
      <c r="G31" s="586">
        <f>ROUND(C35*0.05+C35,0)</f>
        <v>0</v>
      </c>
      <c r="H31" s="569" t="str">
        <f>CONCATENATE("Less ",E1-2," Expenditures + 5%")</f>
        <v>Less -2 Expenditures + 5%</v>
      </c>
      <c r="I31" s="585"/>
      <c r="J31" s="602"/>
    </row>
    <row r="32" spans="2:10" ht="15.75">
      <c r="B32" s="250" t="str">
        <f>CONCATENATE("Cash Forward (",E1," column)")</f>
        <v>Cash Forward (0 column)</v>
      </c>
      <c r="C32" s="411"/>
      <c r="D32" s="411"/>
      <c r="E32" s="66"/>
      <c r="G32" s="588">
        <f>G29-G31</f>
        <v>0</v>
      </c>
      <c r="H32" s="589" t="str">
        <f>CONCATENATE("Projected ",E1+1," carryover (est.)")</f>
        <v>Projected 1 carryover (est.)</v>
      </c>
      <c r="I32" s="590"/>
      <c r="J32" s="591"/>
    </row>
    <row r="33" spans="2:10" ht="15.75">
      <c r="B33" s="250" t="s">
        <v>298</v>
      </c>
      <c r="C33" s="411"/>
      <c r="D33" s="411"/>
      <c r="E33" s="66"/>
      <c r="G33" s="581"/>
      <c r="H33" s="581"/>
      <c r="I33" s="581"/>
      <c r="J33" s="581"/>
    </row>
    <row r="34" spans="2:10" ht="15.75">
      <c r="B34" s="250" t="s">
        <v>299</v>
      </c>
      <c r="C34" s="384">
        <f>IF(C35*0.1&lt;C33,"Exceed 10% Rule","")</f>
      </c>
      <c r="D34" s="384">
        <f>IF(D35*0.1&lt;D33,"Exceed 10% Rule","")</f>
      </c>
      <c r="E34" s="277">
        <f>IF(E35*0.1&lt;E33,"Exceed 10% Rule","")</f>
      </c>
      <c r="G34" s="860" t="s">
        <v>815</v>
      </c>
      <c r="H34" s="861"/>
      <c r="I34" s="861"/>
      <c r="J34" s="862"/>
    </row>
    <row r="35" spans="2:10" ht="15.75">
      <c r="B35" s="252" t="s">
        <v>63</v>
      </c>
      <c r="C35" s="388">
        <f>SUM(C26:C33)</f>
        <v>0</v>
      </c>
      <c r="D35" s="388">
        <f>SUM(D26:D33)</f>
        <v>0</v>
      </c>
      <c r="E35" s="296">
        <f>SUM(E26:E33)</f>
        <v>0</v>
      </c>
      <c r="G35" s="592"/>
      <c r="H35" s="584"/>
      <c r="I35" s="593"/>
      <c r="J35" s="594"/>
    </row>
    <row r="36" spans="2:10" ht="15.75">
      <c r="B36" s="118" t="s">
        <v>195</v>
      </c>
      <c r="C36" s="383">
        <f>C24-C35</f>
        <v>0</v>
      </c>
      <c r="D36" s="383">
        <f>D24-D35</f>
        <v>0</v>
      </c>
      <c r="E36" s="270" t="s">
        <v>35</v>
      </c>
      <c r="G36" s="595" t="str">
        <f>summ!H31</f>
        <v>  </v>
      </c>
      <c r="H36" s="584" t="str">
        <f>CONCATENATE("",E1," Fund Mill Rate")</f>
        <v>0 Fund Mill Rate</v>
      </c>
      <c r="I36" s="593"/>
      <c r="J36" s="594"/>
    </row>
    <row r="37" spans="2:10" ht="15.75">
      <c r="B37" s="146" t="str">
        <f>CONCATENATE("",E1-2,"/",E1-1,"/",E1," Budget Authority Amount:")</f>
        <v>-2/-1/0 Budget Authority Amount:</v>
      </c>
      <c r="C37" s="272">
        <f>inputOth!B46</f>
        <v>0</v>
      </c>
      <c r="D37" s="272">
        <f>inputPrYr!D32</f>
        <v>0</v>
      </c>
      <c r="E37" s="209">
        <f>E35</f>
        <v>0</v>
      </c>
      <c r="F37" s="263"/>
      <c r="G37" s="596" t="str">
        <f>summ!E31</f>
        <v>  </v>
      </c>
      <c r="H37" s="584" t="str">
        <f>CONCATENATE("",E1-1," Fund Mill Rate")</f>
        <v>-1 Fund Mill Rate</v>
      </c>
      <c r="I37" s="593"/>
      <c r="J37" s="594"/>
    </row>
    <row r="38" spans="2:10" ht="15.75">
      <c r="B38" s="231"/>
      <c r="C38" s="856" t="s">
        <v>675</v>
      </c>
      <c r="D38" s="857"/>
      <c r="E38" s="66"/>
      <c r="F38" s="423">
        <f>IF(E35/0.95-E35&lt;E38,"Exceeds 5%","")</f>
      </c>
      <c r="G38" s="597">
        <f>summ!H52</f>
        <v>0</v>
      </c>
      <c r="H38" s="584" t="str">
        <f>CONCATENATE("Total ",E1," Mill Rate")</f>
        <v>Total 0 Mill Rate</v>
      </c>
      <c r="I38" s="593"/>
      <c r="J38" s="594"/>
    </row>
    <row r="39" spans="2:10" ht="15.75">
      <c r="B39" s="417" t="str">
        <f>CONCATENATE(C92,"     ",D92)</f>
        <v>     </v>
      </c>
      <c r="C39" s="858" t="s">
        <v>676</v>
      </c>
      <c r="D39" s="859"/>
      <c r="E39" s="209">
        <f>E35+E38</f>
        <v>0</v>
      </c>
      <c r="G39" s="596">
        <f>summ!E52</f>
        <v>0</v>
      </c>
      <c r="H39" s="598" t="str">
        <f>CONCATENATE("Total ",E1-1," Mill Rate")</f>
        <v>Total -1 Mill Rate</v>
      </c>
      <c r="I39" s="599"/>
      <c r="J39" s="600"/>
    </row>
    <row r="40" spans="2:10" ht="15.75">
      <c r="B40" s="417" t="str">
        <f>CONCATENATE(C93,"      ",D93)</f>
        <v>      </v>
      </c>
      <c r="C40" s="264"/>
      <c r="D40" s="79" t="s">
        <v>64</v>
      </c>
      <c r="E40" s="70">
        <f>IF(E39-E24&gt;0,E39-E24,0)</f>
        <v>0</v>
      </c>
      <c r="G40" s="581"/>
      <c r="H40" s="581"/>
      <c r="I40" s="581"/>
      <c r="J40" s="581"/>
    </row>
    <row r="41" spans="2:10" ht="15.75">
      <c r="B41" s="79"/>
      <c r="C41" s="402" t="s">
        <v>677</v>
      </c>
      <c r="D41" s="624">
        <f>inputOth!$E$24</f>
        <v>0</v>
      </c>
      <c r="E41" s="209">
        <f>ROUND(IF(D41&gt;0,(E40*D41),0),0)</f>
        <v>0</v>
      </c>
      <c r="G41" s="741" t="s">
        <v>964</v>
      </c>
      <c r="H41" s="742"/>
      <c r="I41" s="744"/>
      <c r="J41" s="743" t="str">
        <f>cert!F62</f>
        <v>No</v>
      </c>
    </row>
    <row r="42" spans="2:10" ht="15.75">
      <c r="B42" s="45"/>
      <c r="C42" s="854" t="str">
        <f>CONCATENATE("Amount of  ",$E$1-1," Ad Valorem Tax")</f>
        <v>Amount of  -1 Ad Valorem Tax</v>
      </c>
      <c r="D42" s="855"/>
      <c r="E42" s="282">
        <f>E40+E41</f>
        <v>0</v>
      </c>
      <c r="G42" s="758" t="str">
        <f>CONCATENATE("Computed ",E1," tax levy limit amount")</f>
        <v>Computed 0 tax levy limit amount</v>
      </c>
      <c r="H42" s="759"/>
      <c r="I42" s="759"/>
      <c r="J42" s="760">
        <f>computation!J42</f>
        <v>0</v>
      </c>
    </row>
    <row r="43" spans="2:10" ht="15.75">
      <c r="B43" s="45"/>
      <c r="C43" s="547"/>
      <c r="D43" s="45"/>
      <c r="E43" s="45"/>
      <c r="G43" s="761" t="str">
        <f>CONCATENATE("Total ",E1," tax levy amount")</f>
        <v>Total 0 tax levy amount</v>
      </c>
      <c r="H43" s="762"/>
      <c r="I43" s="762"/>
      <c r="J43" s="763">
        <f>summ!G52</f>
        <v>0</v>
      </c>
    </row>
    <row r="44" spans="2:10" ht="15.75">
      <c r="B44" s="45"/>
      <c r="C44" s="547"/>
      <c r="D44" s="45"/>
      <c r="E44" s="45"/>
      <c r="G44" s="581"/>
      <c r="H44" s="581"/>
      <c r="I44" s="581"/>
      <c r="J44" s="581"/>
    </row>
    <row r="45" spans="2:10" ht="15.75">
      <c r="B45" s="45"/>
      <c r="C45" s="110"/>
      <c r="D45" s="110"/>
      <c r="E45" s="110"/>
      <c r="G45" s="581"/>
      <c r="H45" s="581"/>
      <c r="I45" s="581"/>
      <c r="J45" s="581"/>
    </row>
    <row r="46" spans="2:10" ht="15.75">
      <c r="B46" s="44" t="s">
        <v>49</v>
      </c>
      <c r="C46" s="563" t="str">
        <f aca="true" t="shared" si="0" ref="C46:E47">C4</f>
        <v>Prior Year </v>
      </c>
      <c r="D46" s="564" t="str">
        <f t="shared" si="0"/>
        <v>Current Year </v>
      </c>
      <c r="E46" s="114" t="str">
        <f t="shared" si="0"/>
        <v>Proposed Budget </v>
      </c>
      <c r="G46" s="581"/>
      <c r="H46" s="581"/>
      <c r="I46" s="581"/>
      <c r="J46" s="581"/>
    </row>
    <row r="47" spans="2:10" ht="15.75">
      <c r="B47" s="405">
        <f>inputPrYr!$B$33</f>
        <v>0</v>
      </c>
      <c r="C47" s="386" t="str">
        <f t="shared" si="0"/>
        <v>Actual for -2</v>
      </c>
      <c r="D47" s="386" t="str">
        <f t="shared" si="0"/>
        <v>Estimate for -1</v>
      </c>
      <c r="E47" s="256" t="str">
        <f t="shared" si="0"/>
        <v>Year for 0</v>
      </c>
      <c r="G47" s="581"/>
      <c r="H47" s="581"/>
      <c r="I47" s="581"/>
      <c r="J47" s="581"/>
    </row>
    <row r="48" spans="2:10" ht="15.75">
      <c r="B48" s="118" t="s">
        <v>194</v>
      </c>
      <c r="C48" s="411"/>
      <c r="D48" s="385">
        <f>C78</f>
        <v>0</v>
      </c>
      <c r="E48" s="209">
        <f>D78</f>
        <v>0</v>
      </c>
      <c r="G48" s="581"/>
      <c r="H48" s="581"/>
      <c r="I48" s="581"/>
      <c r="J48" s="581"/>
    </row>
    <row r="49" spans="2:10" ht="15.75">
      <c r="B49" s="245" t="s">
        <v>196</v>
      </c>
      <c r="C49" s="132"/>
      <c r="D49" s="132"/>
      <c r="E49" s="81"/>
      <c r="G49" s="581"/>
      <c r="H49" s="581"/>
      <c r="I49" s="581"/>
      <c r="J49" s="581"/>
    </row>
    <row r="50" spans="2:10" ht="15.75">
      <c r="B50" s="118" t="s">
        <v>50</v>
      </c>
      <c r="C50" s="411"/>
      <c r="D50" s="385">
        <f>inputPrYr!E33</f>
        <v>0</v>
      </c>
      <c r="E50" s="270" t="s">
        <v>35</v>
      </c>
      <c r="G50" s="581"/>
      <c r="H50" s="581"/>
      <c r="I50" s="581"/>
      <c r="J50" s="581"/>
    </row>
    <row r="51" spans="2:10" ht="15.75">
      <c r="B51" s="118" t="s">
        <v>51</v>
      </c>
      <c r="C51" s="411"/>
      <c r="D51" s="411"/>
      <c r="E51" s="66"/>
      <c r="G51" s="581"/>
      <c r="H51" s="581"/>
      <c r="I51" s="581"/>
      <c r="J51" s="581"/>
    </row>
    <row r="52" spans="2:10" ht="15.75">
      <c r="B52" s="118" t="s">
        <v>52</v>
      </c>
      <c r="C52" s="411"/>
      <c r="D52" s="411"/>
      <c r="E52" s="209" t="str">
        <f>mvalloc!E26</f>
        <v>  </v>
      </c>
      <c r="G52" s="581"/>
      <c r="H52" s="581"/>
      <c r="I52" s="581"/>
      <c r="J52" s="581"/>
    </row>
    <row r="53" spans="2:10" ht="15.75">
      <c r="B53" s="118" t="s">
        <v>53</v>
      </c>
      <c r="C53" s="411"/>
      <c r="D53" s="411"/>
      <c r="E53" s="209" t="str">
        <f>mvalloc!F26</f>
        <v>  </v>
      </c>
      <c r="G53" s="581"/>
      <c r="H53" s="581"/>
      <c r="I53" s="581"/>
      <c r="J53" s="581"/>
    </row>
    <row r="54" spans="2:10" ht="15.75">
      <c r="B54" s="132" t="s">
        <v>154</v>
      </c>
      <c r="C54" s="411"/>
      <c r="D54" s="411"/>
      <c r="E54" s="209" t="str">
        <f>mvalloc!G26</f>
        <v>  </v>
      </c>
      <c r="G54" s="581"/>
      <c r="H54" s="581"/>
      <c r="I54" s="581"/>
      <c r="J54" s="581"/>
    </row>
    <row r="55" spans="2:10" ht="15.75">
      <c r="B55" s="273" t="s">
        <v>955</v>
      </c>
      <c r="C55" s="411"/>
      <c r="D55" s="411"/>
      <c r="E55" s="209" t="str">
        <f>mvalloc!H26</f>
        <v> </v>
      </c>
      <c r="G55" s="581"/>
      <c r="H55" s="581"/>
      <c r="I55" s="581"/>
      <c r="J55" s="581"/>
    </row>
    <row r="56" spans="2:10" ht="15.75">
      <c r="B56" s="273" t="s">
        <v>956</v>
      </c>
      <c r="C56" s="411"/>
      <c r="D56" s="411"/>
      <c r="E56" s="209" t="str">
        <f>mvalloc!I26</f>
        <v> </v>
      </c>
      <c r="G56" s="581"/>
      <c r="H56" s="581"/>
      <c r="I56" s="581"/>
      <c r="J56" s="581"/>
    </row>
    <row r="57" spans="2:10" ht="15.75">
      <c r="B57" s="261"/>
      <c r="C57" s="411"/>
      <c r="D57" s="411"/>
      <c r="E57" s="66"/>
      <c r="G57" s="581"/>
      <c r="H57" s="581"/>
      <c r="I57" s="581"/>
      <c r="J57" s="581"/>
    </row>
    <row r="58" spans="2:10" ht="15.75">
      <c r="B58" s="261"/>
      <c r="C58" s="411"/>
      <c r="D58" s="411"/>
      <c r="E58" s="66"/>
      <c r="G58" s="581"/>
      <c r="H58" s="581"/>
      <c r="I58" s="581"/>
      <c r="J58" s="581"/>
    </row>
    <row r="59" spans="2:10" ht="15.75">
      <c r="B59" s="261"/>
      <c r="C59" s="411"/>
      <c r="D59" s="411"/>
      <c r="E59" s="66"/>
      <c r="G59" s="863" t="str">
        <f>CONCATENATE("Desired Carryover Into ",E1+1,"")</f>
        <v>Desired Carryover Into 1</v>
      </c>
      <c r="H59" s="864"/>
      <c r="I59" s="864"/>
      <c r="J59" s="833"/>
    </row>
    <row r="60" spans="2:10" ht="15.75">
      <c r="B60" s="261"/>
      <c r="C60" s="411"/>
      <c r="D60" s="411"/>
      <c r="E60" s="66"/>
      <c r="G60" s="567"/>
      <c r="H60" s="568"/>
      <c r="I60" s="569"/>
      <c r="J60" s="570"/>
    </row>
    <row r="61" spans="2:10" ht="15.75">
      <c r="B61" s="249" t="s">
        <v>57</v>
      </c>
      <c r="C61" s="411"/>
      <c r="D61" s="411"/>
      <c r="E61" s="66"/>
      <c r="G61" s="571" t="s">
        <v>683</v>
      </c>
      <c r="H61" s="569"/>
      <c r="I61" s="569"/>
      <c r="J61" s="572">
        <v>0</v>
      </c>
    </row>
    <row r="62" spans="2:10" ht="15.75">
      <c r="B62" s="250" t="s">
        <v>297</v>
      </c>
      <c r="C62" s="411"/>
      <c r="D62" s="411"/>
      <c r="E62" s="280">
        <f>Nhood!E22*-1</f>
        <v>0</v>
      </c>
      <c r="G62" s="567" t="s">
        <v>684</v>
      </c>
      <c r="H62" s="568"/>
      <c r="I62" s="568"/>
      <c r="J62" s="573">
        <f>IF(J61=0,"",ROUND((J61+E84-G74)/inputOth!E5*1000,3)-G79)</f>
      </c>
    </row>
    <row r="63" spans="2:10" ht="15.75">
      <c r="B63" s="250" t="s">
        <v>298</v>
      </c>
      <c r="C63" s="411"/>
      <c r="D63" s="411"/>
      <c r="E63" s="66"/>
      <c r="G63" s="574" t="str">
        <f>CONCATENATE("",E1," Tot Exp/Non-Appr Must Be:")</f>
        <v>0 Tot Exp/Non-Appr Must Be:</v>
      </c>
      <c r="H63" s="575"/>
      <c r="I63" s="576"/>
      <c r="J63" s="577">
        <f>IF(J61&gt;0,IF(E81&lt;E66,IF(J61=G74,E81,((J61-G74)*(1-D83))+E66),E81+(J61-G74)),0)</f>
        <v>0</v>
      </c>
    </row>
    <row r="64" spans="2:10" ht="15.75">
      <c r="B64" s="250" t="s">
        <v>300</v>
      </c>
      <c r="C64" s="384">
        <f>IF(C65*0.1&lt;C63,"Exceed 10% Rule","")</f>
      </c>
      <c r="D64" s="384">
        <f>IF(D65*0.1&lt;D63,"Exceed 10% Rule","")</f>
      </c>
      <c r="E64" s="277">
        <f>IF(E65*0.1+E84&lt;E63,"Exceed 10% Rule","")</f>
      </c>
      <c r="G64" s="578" t="s">
        <v>814</v>
      </c>
      <c r="H64" s="579"/>
      <c r="I64" s="579"/>
      <c r="J64" s="580">
        <f>IF(J61&gt;0,J63-E81,0)</f>
        <v>0</v>
      </c>
    </row>
    <row r="65" spans="2:10" ht="15.75">
      <c r="B65" s="252" t="s">
        <v>58</v>
      </c>
      <c r="C65" s="388">
        <f>SUM(C50:C63)</f>
        <v>0</v>
      </c>
      <c r="D65" s="388">
        <f>SUM(D50:D63)</f>
        <v>0</v>
      </c>
      <c r="E65" s="296">
        <f>SUM(E50:E63)</f>
        <v>0</v>
      </c>
      <c r="G65" s="581"/>
      <c r="H65" s="581"/>
      <c r="I65" s="581"/>
      <c r="J65" s="581"/>
    </row>
    <row r="66" spans="2:10" ht="15.75">
      <c r="B66" s="252" t="s">
        <v>59</v>
      </c>
      <c r="C66" s="388">
        <f>C48+C65</f>
        <v>0</v>
      </c>
      <c r="D66" s="388">
        <f>D48+D65</f>
        <v>0</v>
      </c>
      <c r="E66" s="296">
        <f>E48+E65</f>
        <v>0</v>
      </c>
      <c r="G66" s="863" t="str">
        <f>CONCATENATE("Projected Carryover Into ",E1+1,"")</f>
        <v>Projected Carryover Into 1</v>
      </c>
      <c r="H66" s="869"/>
      <c r="I66" s="869"/>
      <c r="J66" s="868"/>
    </row>
    <row r="67" spans="2:10" ht="15.75">
      <c r="B67" s="118" t="s">
        <v>62</v>
      </c>
      <c r="C67" s="250"/>
      <c r="D67" s="250"/>
      <c r="E67" s="128"/>
      <c r="G67" s="601"/>
      <c r="H67" s="568"/>
      <c r="I67" s="568"/>
      <c r="J67" s="602"/>
    </row>
    <row r="68" spans="2:10" ht="15.75">
      <c r="B68" s="261"/>
      <c r="C68" s="411"/>
      <c r="D68" s="411"/>
      <c r="E68" s="66"/>
      <c r="G68" s="583">
        <f>D78</f>
        <v>0</v>
      </c>
      <c r="H68" s="584" t="str">
        <f>CONCATENATE("",E1-1," Ending Cash Balance (est.)")</f>
        <v>-1 Ending Cash Balance (est.)</v>
      </c>
      <c r="I68" s="585"/>
      <c r="J68" s="602"/>
    </row>
    <row r="69" spans="2:10" ht="15.75">
      <c r="B69" s="261"/>
      <c r="C69" s="411"/>
      <c r="D69" s="411"/>
      <c r="E69" s="66"/>
      <c r="G69" s="583">
        <f>E65</f>
        <v>0</v>
      </c>
      <c r="H69" s="569" t="str">
        <f>CONCATENATE("",E1," Non-AV Receipts (est.)")</f>
        <v>0 Non-AV Receipts (est.)</v>
      </c>
      <c r="I69" s="585"/>
      <c r="J69" s="602"/>
    </row>
    <row r="70" spans="2:11" ht="15.75">
      <c r="B70" s="261"/>
      <c r="C70" s="411"/>
      <c r="D70" s="411"/>
      <c r="E70" s="66"/>
      <c r="G70" s="586">
        <f>IF(E83&gt;0,E82,E84)</f>
        <v>0</v>
      </c>
      <c r="H70" s="569" t="str">
        <f>CONCATENATE("",E1," Ad Valorem Tax (est.)")</f>
        <v>0 Ad Valorem Tax (est.)</v>
      </c>
      <c r="I70" s="585"/>
      <c r="J70" s="602"/>
      <c r="K70" s="622">
        <f>IF(G70=E84,"","Note: Does not include Delinquent Taxes")</f>
      </c>
    </row>
    <row r="71" spans="2:10" ht="15.75">
      <c r="B71" s="261"/>
      <c r="C71" s="411"/>
      <c r="D71" s="411"/>
      <c r="E71" s="66"/>
      <c r="G71" s="603">
        <f>SUM(G68:G70)</f>
        <v>0</v>
      </c>
      <c r="H71" s="569" t="str">
        <f>CONCATENATE("Total ",E1," Resources Available")</f>
        <v>Total 0 Resources Available</v>
      </c>
      <c r="I71" s="604"/>
      <c r="J71" s="602"/>
    </row>
    <row r="72" spans="2:10" ht="15.75">
      <c r="B72" s="261"/>
      <c r="C72" s="411"/>
      <c r="D72" s="411"/>
      <c r="E72" s="66"/>
      <c r="G72" s="605"/>
      <c r="H72" s="606"/>
      <c r="I72" s="568"/>
      <c r="J72" s="602"/>
    </row>
    <row r="73" spans="2:10" ht="15.75">
      <c r="B73" s="261"/>
      <c r="C73" s="411"/>
      <c r="D73" s="411"/>
      <c r="E73" s="66"/>
      <c r="G73" s="607">
        <f>ROUND(C77*0.05+C77,0)</f>
        <v>0</v>
      </c>
      <c r="H73" s="569" t="str">
        <f>CONCATENATE("Less ",E1-2," Expenditures + 5%")</f>
        <v>Less -2 Expenditures + 5%</v>
      </c>
      <c r="I73" s="604"/>
      <c r="J73" s="602"/>
    </row>
    <row r="74" spans="2:10" ht="15.75">
      <c r="B74" s="250" t="str">
        <f>CONCATENATE("Cash Forward (",E1," column)")</f>
        <v>Cash Forward (0 column)</v>
      </c>
      <c r="C74" s="411"/>
      <c r="D74" s="411"/>
      <c r="E74" s="66"/>
      <c r="G74" s="608">
        <f>G71-G73</f>
        <v>0</v>
      </c>
      <c r="H74" s="589" t="str">
        <f>CONCATENATE("Projected ",E1+1," carryover (est.)")</f>
        <v>Projected 1 carryover (est.)</v>
      </c>
      <c r="I74" s="609"/>
      <c r="J74" s="610"/>
    </row>
    <row r="75" spans="2:10" ht="15.75">
      <c r="B75" s="250" t="s">
        <v>298</v>
      </c>
      <c r="C75" s="411"/>
      <c r="D75" s="411"/>
      <c r="E75" s="66"/>
      <c r="G75" s="581"/>
      <c r="H75" s="581"/>
      <c r="I75" s="581"/>
      <c r="J75" s="581"/>
    </row>
    <row r="76" spans="2:10" ht="15.75">
      <c r="B76" s="250" t="s">
        <v>299</v>
      </c>
      <c r="C76" s="384">
        <f>IF(C77*0.1&lt;C75,"Exceed 10% Rule","")</f>
      </c>
      <c r="D76" s="384">
        <f>IF(D77*0.1&lt;D75,"Exceed 10% Rule","")</f>
      </c>
      <c r="E76" s="277">
        <f>IF(E77*0.1&lt;E75,"Exceed 10% Rule","")</f>
      </c>
      <c r="G76" s="860" t="s">
        <v>815</v>
      </c>
      <c r="H76" s="861"/>
      <c r="I76" s="861"/>
      <c r="J76" s="862"/>
    </row>
    <row r="77" spans="2:10" ht="15.75">
      <c r="B77" s="252" t="s">
        <v>63</v>
      </c>
      <c r="C77" s="388">
        <f>SUM(C68:C75)</f>
        <v>0</v>
      </c>
      <c r="D77" s="388">
        <f>SUM(D68:D75)</f>
        <v>0</v>
      </c>
      <c r="E77" s="296">
        <f>SUM(E68:E75)</f>
        <v>0</v>
      </c>
      <c r="G77" s="592"/>
      <c r="H77" s="584"/>
      <c r="I77" s="593"/>
      <c r="J77" s="594"/>
    </row>
    <row r="78" spans="2:10" ht="15.75">
      <c r="B78" s="118" t="s">
        <v>195</v>
      </c>
      <c r="C78" s="383">
        <f>C66-C77</f>
        <v>0</v>
      </c>
      <c r="D78" s="383">
        <f>D66-D77</f>
        <v>0</v>
      </c>
      <c r="E78" s="270" t="s">
        <v>35</v>
      </c>
      <c r="G78" s="595" t="str">
        <f>summ!H32</f>
        <v>  </v>
      </c>
      <c r="H78" s="584" t="str">
        <f>CONCATENATE("",E1," Fund Mill Rate")</f>
        <v>0 Fund Mill Rate</v>
      </c>
      <c r="I78" s="593"/>
      <c r="J78" s="594"/>
    </row>
    <row r="79" spans="2:10" ht="15.75">
      <c r="B79" s="146" t="str">
        <f>CONCATENATE("",E1-2,"/",E1-1,"/",E1," Budget Authority Amount:")</f>
        <v>-2/-1/0 Budget Authority Amount:</v>
      </c>
      <c r="C79" s="272">
        <f>inputOth!B47</f>
        <v>0</v>
      </c>
      <c r="D79" s="272">
        <f>inputPrYr!D33</f>
        <v>0</v>
      </c>
      <c r="E79" s="209">
        <f>E77</f>
        <v>0</v>
      </c>
      <c r="F79" s="263"/>
      <c r="G79" s="596" t="str">
        <f>summ!E32</f>
        <v>  </v>
      </c>
      <c r="H79" s="584" t="str">
        <f>CONCATENATE("",E1-1," Fund Mill Rate")</f>
        <v>-1 Fund Mill Rate</v>
      </c>
      <c r="I79" s="593"/>
      <c r="J79" s="594"/>
    </row>
    <row r="80" spans="2:10" ht="15.75">
      <c r="B80" s="231"/>
      <c r="C80" s="856" t="s">
        <v>675</v>
      </c>
      <c r="D80" s="857"/>
      <c r="E80" s="66"/>
      <c r="F80" s="423">
        <f>IF(E77/0.95-E77&lt;E80,"Exceeds 5%","")</f>
      </c>
      <c r="G80" s="597">
        <f>summ!H52</f>
        <v>0</v>
      </c>
      <c r="H80" s="584" t="str">
        <f>CONCATENATE("Total ",E1," Mill Rate")</f>
        <v>Total 0 Mill Rate</v>
      </c>
      <c r="I80" s="593"/>
      <c r="J80" s="594"/>
    </row>
    <row r="81" spans="2:10" ht="15.75">
      <c r="B81" s="417" t="str">
        <f>CONCATENATE(C94,"      ",D94)</f>
        <v>      </v>
      </c>
      <c r="C81" s="858" t="s">
        <v>676</v>
      </c>
      <c r="D81" s="859"/>
      <c r="E81" s="209">
        <f>E77+E80</f>
        <v>0</v>
      </c>
      <c r="G81" s="596">
        <f>summ!E52</f>
        <v>0</v>
      </c>
      <c r="H81" s="598" t="str">
        <f>CONCATENATE("Total ",E1-1," Mill Rate")</f>
        <v>Total -1 Mill Rate</v>
      </c>
      <c r="I81" s="599"/>
      <c r="J81" s="600"/>
    </row>
    <row r="82" spans="2:5" ht="15.75">
      <c r="B82" s="417" t="str">
        <f>CONCATENATE(C95,"      ",D95)</f>
        <v>      </v>
      </c>
      <c r="C82" s="264"/>
      <c r="D82" s="79" t="s">
        <v>64</v>
      </c>
      <c r="E82" s="70">
        <f>IF(E81-E66&gt;0,E81-E66,0)</f>
        <v>0</v>
      </c>
    </row>
    <row r="83" spans="2:10" ht="15.75">
      <c r="B83" s="79"/>
      <c r="C83" s="402" t="s">
        <v>677</v>
      </c>
      <c r="D83" s="624">
        <f>inputOth!$E$24</f>
        <v>0</v>
      </c>
      <c r="E83" s="209">
        <f>ROUND(IF(D83&gt;0,(E82*D83),0),0)</f>
        <v>0</v>
      </c>
      <c r="G83" s="741" t="s">
        <v>964</v>
      </c>
      <c r="H83" s="742"/>
      <c r="I83" s="744"/>
      <c r="J83" s="743" t="str">
        <f>cert!F62</f>
        <v>No</v>
      </c>
    </row>
    <row r="84" spans="2:10" ht="15.75">
      <c r="B84" s="45"/>
      <c r="C84" s="854" t="str">
        <f>CONCATENATE("Amount of  ",$E$1-1," Ad Valorem Tax")</f>
        <v>Amount of  -1 Ad Valorem Tax</v>
      </c>
      <c r="D84" s="855"/>
      <c r="E84" s="282">
        <f>E82+E83</f>
        <v>0</v>
      </c>
      <c r="G84" s="745" t="str">
        <f>CONCATENATE("Computed ",E1," tax levy limit amount")</f>
        <v>Computed 0 tax levy limit amount</v>
      </c>
      <c r="H84" s="746"/>
      <c r="I84" s="746"/>
      <c r="J84" s="747">
        <f>computation!J42</f>
        <v>0</v>
      </c>
    </row>
    <row r="85" spans="2:10" ht="15.75">
      <c r="B85" s="265" t="s">
        <v>115</v>
      </c>
      <c r="C85" s="709"/>
      <c r="D85" s="45"/>
      <c r="E85" s="45"/>
      <c r="G85" s="748" t="str">
        <f>CONCATENATE("Total ",E1," tax levy amount")</f>
        <v>Total 0 tax levy amount</v>
      </c>
      <c r="H85" s="749"/>
      <c r="I85" s="749"/>
      <c r="J85" s="750">
        <f>summ!G52</f>
        <v>0</v>
      </c>
    </row>
    <row r="92" spans="3:4" ht="15.75" hidden="1">
      <c r="C92" s="31">
        <f>IF(C35&gt;C37,"See Tab A","")</f>
      </c>
      <c r="D92" s="31">
        <f>IF(D35&gt;D37,"See Tab C","")</f>
      </c>
    </row>
    <row r="93" spans="3:4" ht="15.75" hidden="1">
      <c r="C93" s="31">
        <f>IF(C36&lt;0,"See Tab B","")</f>
      </c>
      <c r="D93" s="31">
        <f>IF(D36&lt;0,"See Tab D","")</f>
      </c>
    </row>
    <row r="94" spans="3:4" ht="15.75" hidden="1">
      <c r="C94" s="31">
        <f>IF(C77&gt;C79,"See Tab A","")</f>
      </c>
      <c r="D94" s="31">
        <f>IF(D77&gt;D79,"See Tab C","")</f>
      </c>
    </row>
    <row r="95" spans="3:4" ht="15.75" hidden="1">
      <c r="C95" s="31">
        <f>IF(C78&lt;0,"See Tab B","")</f>
      </c>
      <c r="D95" s="31">
        <f>IF(D78&lt;0,"See Tab D","")</f>
      </c>
    </row>
  </sheetData>
  <sheetProtection sheet="1"/>
  <mergeCells count="12">
    <mergeCell ref="G17:J17"/>
    <mergeCell ref="G24:J24"/>
    <mergeCell ref="G34:J34"/>
    <mergeCell ref="G59:J59"/>
    <mergeCell ref="G66:J66"/>
    <mergeCell ref="G76:J76"/>
    <mergeCell ref="C38:D38"/>
    <mergeCell ref="C39:D39"/>
    <mergeCell ref="C80:D80"/>
    <mergeCell ref="C81:D81"/>
    <mergeCell ref="C84:D84"/>
    <mergeCell ref="C42:D42"/>
  </mergeCells>
  <conditionalFormatting sqref="E38">
    <cfRule type="cellIs" priority="3" dxfId="351" operator="greaterThan" stopIfTrue="1">
      <formula>$E$35/0.95-$E$35</formula>
    </cfRule>
  </conditionalFormatting>
  <conditionalFormatting sqref="E80">
    <cfRule type="cellIs" priority="4" dxfId="351" operator="greaterThan" stopIfTrue="1">
      <formula>$E$77/0.95-$E$77</formula>
    </cfRule>
  </conditionalFormatting>
  <conditionalFormatting sqref="E75">
    <cfRule type="cellIs" priority="5" dxfId="351" operator="greaterThan" stopIfTrue="1">
      <formula>$E$77*0.1</formula>
    </cfRule>
  </conditionalFormatting>
  <conditionalFormatting sqref="C21">
    <cfRule type="cellIs" priority="6" dxfId="351" operator="greaterThan" stopIfTrue="1">
      <formula>$C$23*0.1</formula>
    </cfRule>
  </conditionalFormatting>
  <conditionalFormatting sqref="D21">
    <cfRule type="cellIs" priority="7" dxfId="351" operator="greaterThan" stopIfTrue="1">
      <formula>$D$23*0.1</formula>
    </cfRule>
  </conditionalFormatting>
  <conditionalFormatting sqref="E33">
    <cfRule type="cellIs" priority="8" dxfId="351" operator="greaterThan" stopIfTrue="1">
      <formula>$E$35*0.1</formula>
    </cfRule>
  </conditionalFormatting>
  <conditionalFormatting sqref="E21">
    <cfRule type="cellIs" priority="10" dxfId="351" operator="greaterThan" stopIfTrue="1">
      <formula>$E$23*0.1+E42</formula>
    </cfRule>
  </conditionalFormatting>
  <conditionalFormatting sqref="E63">
    <cfRule type="cellIs" priority="11" dxfId="351" operator="greaterThan" stopIfTrue="1">
      <formula>$E$65*0.1+E84</formula>
    </cfRule>
  </conditionalFormatting>
  <conditionalFormatting sqref="C75">
    <cfRule type="cellIs" priority="12" dxfId="2" operator="greaterThan" stopIfTrue="1">
      <formula>$C$77*0.1</formula>
    </cfRule>
  </conditionalFormatting>
  <conditionalFormatting sqref="D75">
    <cfRule type="cellIs" priority="13" dxfId="2" operator="greaterThan" stopIfTrue="1">
      <formula>$D$77*0.1</formula>
    </cfRule>
  </conditionalFormatting>
  <conditionalFormatting sqref="D63">
    <cfRule type="cellIs" priority="14" dxfId="2" operator="greaterThan" stopIfTrue="1">
      <formula>$D$65*0.1</formula>
    </cfRule>
  </conditionalFormatting>
  <conditionalFormatting sqref="C63">
    <cfRule type="cellIs" priority="15" dxfId="2" operator="greaterThan" stopIfTrue="1">
      <formula>$C$65*0.1</formula>
    </cfRule>
  </conditionalFormatting>
  <conditionalFormatting sqref="C33">
    <cfRule type="cellIs" priority="16" dxfId="2" operator="greaterThan" stopIfTrue="1">
      <formula>$C$35*0.1</formula>
    </cfRule>
  </conditionalFormatting>
  <conditionalFormatting sqref="D33">
    <cfRule type="cellIs" priority="17" dxfId="2" operator="greaterThan" stopIfTrue="1">
      <formula>$D$35*0.1</formula>
    </cfRule>
  </conditionalFormatting>
  <conditionalFormatting sqref="C35">
    <cfRule type="cellIs" priority="18" dxfId="2" operator="greaterThan" stopIfTrue="1">
      <formula>$C$37</formula>
    </cfRule>
  </conditionalFormatting>
  <conditionalFormatting sqref="D35">
    <cfRule type="cellIs" priority="19" dxfId="2" operator="greaterThan" stopIfTrue="1">
      <formula>$D$37</formula>
    </cfRule>
  </conditionalFormatting>
  <conditionalFormatting sqref="C36 C78">
    <cfRule type="cellIs" priority="20" dxfId="2" operator="lessThan" stopIfTrue="1">
      <formula>0</formula>
    </cfRule>
  </conditionalFormatting>
  <conditionalFormatting sqref="C77">
    <cfRule type="cellIs" priority="21" dxfId="2" operator="greaterThan" stopIfTrue="1">
      <formula>$C$79</formula>
    </cfRule>
  </conditionalFormatting>
  <conditionalFormatting sqref="D77">
    <cfRule type="cellIs" priority="22" dxfId="2" operator="greaterThan" stopIfTrue="1">
      <formula>$D$79</formula>
    </cfRule>
  </conditionalFormatting>
  <conditionalFormatting sqref="D36 D78">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7" r:id="rId1"/>
  <headerFooter alignWithMargins="0">
    <oddHeader>&amp;RState of Kansas
County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Q145" sqref="Q145"/>
    </sheetView>
  </sheetViews>
  <sheetFormatPr defaultColWidth="8.796875" defaultRowHeight="15"/>
  <cols>
    <col min="1" max="1" width="2.3984375" style="31" customWidth="1"/>
    <col min="2" max="2" width="31.09765625" style="31" customWidth="1"/>
    <col min="3" max="4" width="15.796875" style="31" customWidth="1"/>
    <col min="5" max="5" width="16.296875" style="31" customWidth="1"/>
    <col min="6" max="6" width="8.8984375" style="31" customWidth="1"/>
    <col min="7" max="7" width="10.19921875" style="31" customWidth="1"/>
    <col min="8" max="8" width="8.8984375" style="31" customWidth="1"/>
    <col min="9" max="9" width="5.796875" style="31" customWidth="1"/>
    <col min="10" max="10" width="10" style="31" customWidth="1"/>
    <col min="11" max="16384" width="8.8984375" style="31" customWidth="1"/>
  </cols>
  <sheetData>
    <row r="1" spans="2:5" ht="15.75">
      <c r="B1" s="160">
        <f>inputPrYr!C3</f>
        <v>0</v>
      </c>
      <c r="C1" s="45"/>
      <c r="D1" s="45"/>
      <c r="E1" s="230">
        <f>inputPrYr!C5</f>
        <v>0</v>
      </c>
    </row>
    <row r="2" spans="2:5" ht="15.75">
      <c r="B2" s="169"/>
      <c r="C2" s="266"/>
      <c r="D2" s="266"/>
      <c r="E2" s="267"/>
    </row>
    <row r="3" spans="2:5" ht="15.75">
      <c r="B3" s="414" t="s">
        <v>162</v>
      </c>
      <c r="C3" s="110"/>
      <c r="D3" s="110"/>
      <c r="E3" s="110"/>
    </row>
    <row r="4" spans="2:5" ht="15.75">
      <c r="B4" s="44" t="s">
        <v>49</v>
      </c>
      <c r="C4" s="563" t="s">
        <v>811</v>
      </c>
      <c r="D4" s="564" t="s">
        <v>812</v>
      </c>
      <c r="E4" s="114" t="s">
        <v>813</v>
      </c>
    </row>
    <row r="5" spans="2:5" ht="15.75">
      <c r="B5" s="405">
        <f>inputPrYr!$B$34</f>
        <v>0</v>
      </c>
      <c r="C5" s="386" t="str">
        <f>CONCATENATE("Actual for ",E1-2,"")</f>
        <v>Actual for -2</v>
      </c>
      <c r="D5" s="386" t="str">
        <f>CONCATENATE("Estimate for ",E1-1,"")</f>
        <v>Estimate for -1</v>
      </c>
      <c r="E5" s="244" t="str">
        <f>CONCATENATE("Year for ",E1,"")</f>
        <v>Year for 0</v>
      </c>
    </row>
    <row r="6" spans="2:5" ht="15.75">
      <c r="B6" s="118" t="s">
        <v>194</v>
      </c>
      <c r="C6" s="411"/>
      <c r="D6" s="385">
        <f>C36</f>
        <v>0</v>
      </c>
      <c r="E6" s="209">
        <f>D36</f>
        <v>0</v>
      </c>
    </row>
    <row r="7" spans="2:5" ht="15.75">
      <c r="B7" s="234" t="s">
        <v>196</v>
      </c>
      <c r="C7" s="132"/>
      <c r="D7" s="132"/>
      <c r="E7" s="81"/>
    </row>
    <row r="8" spans="2:5" ht="15.75">
      <c r="B8" s="118" t="s">
        <v>50</v>
      </c>
      <c r="C8" s="411"/>
      <c r="D8" s="385">
        <f>inputPrYr!E34</f>
        <v>0</v>
      </c>
      <c r="E8" s="270" t="s">
        <v>35</v>
      </c>
    </row>
    <row r="9" spans="2:5" ht="15.75">
      <c r="B9" s="118" t="s">
        <v>51</v>
      </c>
      <c r="C9" s="411"/>
      <c r="D9" s="411"/>
      <c r="E9" s="66"/>
    </row>
    <row r="10" spans="2:5" ht="15.75">
      <c r="B10" s="118" t="s">
        <v>52</v>
      </c>
      <c r="C10" s="411"/>
      <c r="D10" s="411"/>
      <c r="E10" s="209" t="str">
        <f>mvalloc!E27</f>
        <v>  </v>
      </c>
    </row>
    <row r="11" spans="2:5" ht="15.75">
      <c r="B11" s="118" t="s">
        <v>53</v>
      </c>
      <c r="C11" s="411"/>
      <c r="D11" s="411"/>
      <c r="E11" s="209" t="str">
        <f>mvalloc!F27</f>
        <v>  </v>
      </c>
    </row>
    <row r="12" spans="2:5" ht="15.75">
      <c r="B12" s="132" t="s">
        <v>154</v>
      </c>
      <c r="C12" s="411"/>
      <c r="D12" s="411"/>
      <c r="E12" s="209" t="str">
        <f>mvalloc!G27</f>
        <v>  </v>
      </c>
    </row>
    <row r="13" spans="2:5" ht="15.75">
      <c r="B13" s="273" t="s">
        <v>955</v>
      </c>
      <c r="C13" s="411"/>
      <c r="D13" s="411"/>
      <c r="E13" s="209" t="str">
        <f>mvalloc!H27</f>
        <v> </v>
      </c>
    </row>
    <row r="14" spans="2:5" ht="15.75">
      <c r="B14" s="273" t="s">
        <v>956</v>
      </c>
      <c r="C14" s="411"/>
      <c r="D14" s="411"/>
      <c r="E14" s="209" t="str">
        <f>mvalloc!I27</f>
        <v> </v>
      </c>
    </row>
    <row r="15" spans="2:5" ht="15.75">
      <c r="B15" s="261"/>
      <c r="C15" s="411"/>
      <c r="D15" s="411"/>
      <c r="E15" s="66"/>
    </row>
    <row r="16" spans="2:5" ht="15.75">
      <c r="B16" s="261"/>
      <c r="C16" s="411"/>
      <c r="D16" s="411"/>
      <c r="E16" s="66"/>
    </row>
    <row r="17" spans="2:10" ht="15.75">
      <c r="B17" s="261"/>
      <c r="C17" s="411"/>
      <c r="D17" s="411"/>
      <c r="E17" s="66"/>
      <c r="G17" s="863" t="str">
        <f>CONCATENATE("Desired Carryover Into ",E1+1,"")</f>
        <v>Desired Carryover Into 1</v>
      </c>
      <c r="H17" s="864"/>
      <c r="I17" s="864"/>
      <c r="J17" s="833"/>
    </row>
    <row r="18" spans="2:10" ht="15.75">
      <c r="B18" s="261"/>
      <c r="C18" s="411"/>
      <c r="D18" s="411"/>
      <c r="E18" s="66"/>
      <c r="G18" s="567"/>
      <c r="H18" s="568"/>
      <c r="I18" s="569"/>
      <c r="J18" s="570"/>
    </row>
    <row r="19" spans="2:10" ht="15.75">
      <c r="B19" s="249" t="s">
        <v>57</v>
      </c>
      <c r="C19" s="411"/>
      <c r="D19" s="411"/>
      <c r="E19" s="66"/>
      <c r="G19" s="571" t="s">
        <v>683</v>
      </c>
      <c r="H19" s="569"/>
      <c r="I19" s="569"/>
      <c r="J19" s="572">
        <v>0</v>
      </c>
    </row>
    <row r="20" spans="2:10" ht="15.75">
      <c r="B20" s="250" t="s">
        <v>297</v>
      </c>
      <c r="C20" s="411"/>
      <c r="D20" s="411"/>
      <c r="E20" s="280">
        <f>Nhood!E23*-1</f>
        <v>0</v>
      </c>
      <c r="G20" s="567" t="s">
        <v>684</v>
      </c>
      <c r="H20" s="568"/>
      <c r="I20" s="568"/>
      <c r="J20" s="573">
        <f>IF(J19=0,"",ROUND((J19+E42-G32)/inputOth!E5*1000,3)-G37)</f>
      </c>
    </row>
    <row r="21" spans="2:10" ht="15.75">
      <c r="B21" s="250" t="s">
        <v>298</v>
      </c>
      <c r="C21" s="411"/>
      <c r="D21" s="411"/>
      <c r="E21" s="66"/>
      <c r="G21" s="574" t="str">
        <f>CONCATENATE("",E1," Tot Exp/Non-Appr Must Be:")</f>
        <v>0 Tot Exp/Non-Appr Must Be:</v>
      </c>
      <c r="H21" s="575"/>
      <c r="I21" s="576"/>
      <c r="J21" s="577">
        <f>IF(J19&gt;0,IF(E39&lt;E24,IF(J19=G32,E39,((J19-G32)*(1-D41))+E24),E39+(J19-G32)),0)</f>
        <v>0</v>
      </c>
    </row>
    <row r="22" spans="2:10" ht="15.75">
      <c r="B22" s="250" t="s">
        <v>300</v>
      </c>
      <c r="C22" s="384">
        <f>IF(C23*0.1&lt;C21,"Exceed 10% Rule","")</f>
      </c>
      <c r="D22" s="384">
        <f>IF(D23*0.1&lt;D21,"Exceed 10% Rule","")</f>
      </c>
      <c r="E22" s="277">
        <f>IF(E23*0.1+E42&lt;E21,"Exceed 10% Rule","")</f>
      </c>
      <c r="G22" s="578" t="s">
        <v>814</v>
      </c>
      <c r="H22" s="579"/>
      <c r="I22" s="579"/>
      <c r="J22" s="580">
        <f>IF(J19&gt;0,J21-E39,0)</f>
        <v>0</v>
      </c>
    </row>
    <row r="23" spans="2:10" ht="15.75">
      <c r="B23" s="252" t="s">
        <v>58</v>
      </c>
      <c r="C23" s="388">
        <f>SUM(C8:C21)</f>
        <v>0</v>
      </c>
      <c r="D23" s="388">
        <f>SUM(D8:D21)</f>
        <v>0</v>
      </c>
      <c r="E23" s="296">
        <f>SUM(E8:E21)</f>
        <v>0</v>
      </c>
      <c r="G23" s="581"/>
      <c r="H23" s="581"/>
      <c r="I23" s="581"/>
      <c r="J23" s="581"/>
    </row>
    <row r="24" spans="2:10" ht="15.75">
      <c r="B24" s="252" t="s">
        <v>59</v>
      </c>
      <c r="C24" s="388">
        <f>C6+C23</f>
        <v>0</v>
      </c>
      <c r="D24" s="388">
        <f>D6+D23</f>
        <v>0</v>
      </c>
      <c r="E24" s="296">
        <f>E6+E23</f>
        <v>0</v>
      </c>
      <c r="G24" s="863" t="str">
        <f>CONCATENATE("Projected Carryover Into ",E1+1,"")</f>
        <v>Projected Carryover Into 1</v>
      </c>
      <c r="H24" s="867"/>
      <c r="I24" s="867"/>
      <c r="J24" s="868"/>
    </row>
    <row r="25" spans="2:10" ht="15.75">
      <c r="B25" s="118" t="s">
        <v>62</v>
      </c>
      <c r="C25" s="250"/>
      <c r="D25" s="250"/>
      <c r="E25" s="128"/>
      <c r="G25" s="567"/>
      <c r="H25" s="569"/>
      <c r="I25" s="569"/>
      <c r="J25" s="582"/>
    </row>
    <row r="26" spans="2:10" ht="15.75">
      <c r="B26" s="261"/>
      <c r="C26" s="411"/>
      <c r="D26" s="411"/>
      <c r="E26" s="66"/>
      <c r="G26" s="583">
        <f>D36</f>
        <v>0</v>
      </c>
      <c r="H26" s="584" t="str">
        <f>CONCATENATE("",E1-1," Ending Cash Balance (est.)")</f>
        <v>-1 Ending Cash Balance (est.)</v>
      </c>
      <c r="I26" s="585"/>
      <c r="J26" s="582"/>
    </row>
    <row r="27" spans="2:10" ht="15.75">
      <c r="B27" s="261"/>
      <c r="C27" s="411"/>
      <c r="D27" s="411"/>
      <c r="E27" s="66"/>
      <c r="G27" s="583">
        <f>E23</f>
        <v>0</v>
      </c>
      <c r="H27" s="569" t="str">
        <f>CONCATENATE("",E1," Non-AV Receipts (est.)")</f>
        <v>0 Non-AV Receipts (est.)</v>
      </c>
      <c r="I27" s="585"/>
      <c r="J27" s="582"/>
    </row>
    <row r="28" spans="2:11" ht="15.75">
      <c r="B28" s="261"/>
      <c r="C28" s="411"/>
      <c r="D28" s="411"/>
      <c r="E28" s="66"/>
      <c r="G28" s="586">
        <f>IF(E41&gt;0,E40,E42)</f>
        <v>0</v>
      </c>
      <c r="H28" s="569" t="str">
        <f>CONCATENATE("",E1," Ad Valorem Tax (est.)")</f>
        <v>0 Ad Valorem Tax (est.)</v>
      </c>
      <c r="I28" s="585"/>
      <c r="J28" s="582"/>
      <c r="K28" s="622">
        <f>IF(G28=E42,"","Note: Does not include Delinquent Taxes")</f>
      </c>
    </row>
    <row r="29" spans="2:10" ht="15.75">
      <c r="B29" s="261"/>
      <c r="C29" s="411"/>
      <c r="D29" s="411"/>
      <c r="E29" s="66"/>
      <c r="G29" s="583">
        <f>SUM(G26:G28)</f>
        <v>0</v>
      </c>
      <c r="H29" s="569" t="str">
        <f>CONCATENATE("Total ",E1," Resources Available")</f>
        <v>Total 0 Resources Available</v>
      </c>
      <c r="I29" s="585"/>
      <c r="J29" s="582"/>
    </row>
    <row r="30" spans="2:10" ht="15.75">
      <c r="B30" s="261"/>
      <c r="C30" s="411"/>
      <c r="D30" s="411"/>
      <c r="E30" s="66"/>
      <c r="G30" s="587"/>
      <c r="H30" s="569"/>
      <c r="I30" s="569"/>
      <c r="J30" s="582"/>
    </row>
    <row r="31" spans="2:10" ht="15.75">
      <c r="B31" s="261"/>
      <c r="C31" s="411"/>
      <c r="D31" s="411"/>
      <c r="E31" s="66"/>
      <c r="G31" s="586">
        <f>ROUND(C35*0.05+C35,0)</f>
        <v>0</v>
      </c>
      <c r="H31" s="569" t="str">
        <f>CONCATENATE("Less ",E1-2," Expenditures + 5%")</f>
        <v>Less -2 Expenditures + 5%</v>
      </c>
      <c r="I31" s="585"/>
      <c r="J31" s="602"/>
    </row>
    <row r="32" spans="2:10" ht="15.75">
      <c r="B32" s="250" t="str">
        <f>CONCATENATE("Cash Forward (",E1," column)")</f>
        <v>Cash Forward (0 column)</v>
      </c>
      <c r="C32" s="411"/>
      <c r="D32" s="411"/>
      <c r="E32" s="66"/>
      <c r="G32" s="588">
        <f>G29-G31</f>
        <v>0</v>
      </c>
      <c r="H32" s="589" t="str">
        <f>CONCATENATE("Projected ",E1+1," carryover (est.)")</f>
        <v>Projected 1 carryover (est.)</v>
      </c>
      <c r="I32" s="590"/>
      <c r="J32" s="591"/>
    </row>
    <row r="33" spans="2:10" ht="15.75">
      <c r="B33" s="250" t="s">
        <v>298</v>
      </c>
      <c r="C33" s="411"/>
      <c r="D33" s="411"/>
      <c r="E33" s="66"/>
      <c r="G33" s="581"/>
      <c r="H33" s="581"/>
      <c r="I33" s="581"/>
      <c r="J33" s="581"/>
    </row>
    <row r="34" spans="2:10" ht="15.75">
      <c r="B34" s="250" t="s">
        <v>299</v>
      </c>
      <c r="C34" s="384">
        <f>IF(C35*0.1&lt;C33,"Exceed 10% Rule","")</f>
      </c>
      <c r="D34" s="384">
        <f>IF(D35*0.1&lt;D33,"Exceed 10% Rule","")</f>
      </c>
      <c r="E34" s="277">
        <f>IF(E35*0.1&lt;E33,"Exceed 10% Rule","")</f>
      </c>
      <c r="G34" s="860" t="s">
        <v>815</v>
      </c>
      <c r="H34" s="861"/>
      <c r="I34" s="861"/>
      <c r="J34" s="862"/>
    </row>
    <row r="35" spans="2:10" ht="15.75">
      <c r="B35" s="252" t="s">
        <v>63</v>
      </c>
      <c r="C35" s="388">
        <f>SUM(C26:C33)</f>
        <v>0</v>
      </c>
      <c r="D35" s="388">
        <f>SUM(D26:D33)</f>
        <v>0</v>
      </c>
      <c r="E35" s="296">
        <f>SUM(E26:E33)</f>
        <v>0</v>
      </c>
      <c r="G35" s="592"/>
      <c r="H35" s="584"/>
      <c r="I35" s="593"/>
      <c r="J35" s="594"/>
    </row>
    <row r="36" spans="2:10" ht="15.75">
      <c r="B36" s="118" t="s">
        <v>195</v>
      </c>
      <c r="C36" s="383">
        <f>C24-C35</f>
        <v>0</v>
      </c>
      <c r="D36" s="383">
        <f>D24-D35</f>
        <v>0</v>
      </c>
      <c r="E36" s="270" t="s">
        <v>35</v>
      </c>
      <c r="G36" s="595" t="str">
        <f>summ!H33</f>
        <v>  </v>
      </c>
      <c r="H36" s="584" t="str">
        <f>CONCATENATE("",E1," Fund Mill Rate")</f>
        <v>0 Fund Mill Rate</v>
      </c>
      <c r="I36" s="593"/>
      <c r="J36" s="594"/>
    </row>
    <row r="37" spans="2:10" ht="15.75">
      <c r="B37" s="146" t="str">
        <f>CONCATENATE("",E1-2,"/",E1-1,"/",E1," Budget Authority Amount:")</f>
        <v>-2/-1/0 Budget Authority Amount:</v>
      </c>
      <c r="C37" s="272">
        <f>inputOth!B48</f>
        <v>0</v>
      </c>
      <c r="D37" s="272">
        <f>inputPrYr!D34</f>
        <v>0</v>
      </c>
      <c r="E37" s="209">
        <f>E35</f>
        <v>0</v>
      </c>
      <c r="F37" s="263"/>
      <c r="G37" s="596" t="str">
        <f>summ!E33</f>
        <v>  </v>
      </c>
      <c r="H37" s="584" t="str">
        <f>CONCATENATE("",E1-1," Fund Mill Rate")</f>
        <v>-1 Fund Mill Rate</v>
      </c>
      <c r="I37" s="593"/>
      <c r="J37" s="594"/>
    </row>
    <row r="38" spans="2:10" ht="15.75">
      <c r="B38" s="231"/>
      <c r="C38" s="856" t="s">
        <v>675</v>
      </c>
      <c r="D38" s="857"/>
      <c r="E38" s="66"/>
      <c r="F38" s="423">
        <f>IF(E35/0.95-E35&lt;E38,"Exceeds 5%","")</f>
      </c>
      <c r="G38" s="597">
        <f>summ!H52</f>
        <v>0</v>
      </c>
      <c r="H38" s="584" t="str">
        <f>CONCATENATE("Total ",E1," Mill Rate")</f>
        <v>Total 0 Mill Rate</v>
      </c>
      <c r="I38" s="593"/>
      <c r="J38" s="594"/>
    </row>
    <row r="39" spans="2:10" ht="15.75">
      <c r="B39" s="417" t="str">
        <f>CONCATENATE(C92,"     ",D92)</f>
        <v>     </v>
      </c>
      <c r="C39" s="858" t="s">
        <v>676</v>
      </c>
      <c r="D39" s="859"/>
      <c r="E39" s="209">
        <f>E35+E38</f>
        <v>0</v>
      </c>
      <c r="G39" s="596">
        <f>summ!E52</f>
        <v>0</v>
      </c>
      <c r="H39" s="598" t="str">
        <f>CONCATENATE("Total ",E1-1," Mill Rate")</f>
        <v>Total -1 Mill Rate</v>
      </c>
      <c r="I39" s="599"/>
      <c r="J39" s="600"/>
    </row>
    <row r="40" spans="2:10" ht="15.75">
      <c r="B40" s="417" t="str">
        <f>CONCATENATE(C93,"      ",D93)</f>
        <v>      </v>
      </c>
      <c r="C40" s="264"/>
      <c r="D40" s="79" t="s">
        <v>64</v>
      </c>
      <c r="E40" s="70">
        <f>IF(E39-E24&gt;0,E39-E24,0)</f>
        <v>0</v>
      </c>
      <c r="G40" s="581"/>
      <c r="H40" s="581"/>
      <c r="I40" s="581"/>
      <c r="J40" s="581"/>
    </row>
    <row r="41" spans="2:10" ht="15.75">
      <c r="B41" s="79"/>
      <c r="C41" s="402" t="s">
        <v>677</v>
      </c>
      <c r="D41" s="624">
        <f>inputOth!$E$24</f>
        <v>0</v>
      </c>
      <c r="E41" s="209">
        <f>ROUND(IF(D41&gt;0,(E40*D41),0),0)</f>
        <v>0</v>
      </c>
      <c r="G41" s="741" t="s">
        <v>964</v>
      </c>
      <c r="H41" s="742"/>
      <c r="I41" s="744"/>
      <c r="J41" s="743" t="str">
        <f>cert!F62</f>
        <v>No</v>
      </c>
    </row>
    <row r="42" spans="2:10" ht="15.75">
      <c r="B42" s="45"/>
      <c r="C42" s="854" t="str">
        <f>CONCATENATE("Amount of  ",$E$1-1," Ad Valorem Tax")</f>
        <v>Amount of  -1 Ad Valorem Tax</v>
      </c>
      <c r="D42" s="855"/>
      <c r="E42" s="282">
        <f>E40+E41</f>
        <v>0</v>
      </c>
      <c r="G42" s="758" t="str">
        <f>CONCATENATE("Computed ",E1," tax levy limit amount")</f>
        <v>Computed 0 tax levy limit amount</v>
      </c>
      <c r="H42" s="759"/>
      <c r="I42" s="759"/>
      <c r="J42" s="760">
        <f>computation!J42</f>
        <v>0</v>
      </c>
    </row>
    <row r="43" spans="2:10" ht="15.75">
      <c r="B43" s="45"/>
      <c r="C43" s="547"/>
      <c r="D43" s="45"/>
      <c r="E43" s="45"/>
      <c r="G43" s="761" t="str">
        <f>CONCATENATE("Total ",E1," tax levy amount")</f>
        <v>Total 0 tax levy amount</v>
      </c>
      <c r="H43" s="762"/>
      <c r="I43" s="762"/>
      <c r="J43" s="763">
        <f>summ!G52</f>
        <v>0</v>
      </c>
    </row>
    <row r="44" spans="2:10" ht="15.75">
      <c r="B44" s="45"/>
      <c r="C44" s="547"/>
      <c r="D44" s="45"/>
      <c r="E44" s="45"/>
      <c r="G44" s="581"/>
      <c r="H44" s="581"/>
      <c r="I44" s="581"/>
      <c r="J44" s="581"/>
    </row>
    <row r="45" spans="2:10" ht="15.75">
      <c r="B45" s="44"/>
      <c r="C45" s="110"/>
      <c r="D45" s="110"/>
      <c r="E45" s="110"/>
      <c r="G45" s="581"/>
      <c r="H45" s="581"/>
      <c r="I45" s="581"/>
      <c r="J45" s="581"/>
    </row>
    <row r="46" spans="2:10" ht="15.75">
      <c r="B46" s="44" t="s">
        <v>49</v>
      </c>
      <c r="C46" s="563" t="str">
        <f aca="true" t="shared" si="0" ref="C46:E47">C4</f>
        <v>Prior Year </v>
      </c>
      <c r="D46" s="564" t="str">
        <f t="shared" si="0"/>
        <v>Current Year </v>
      </c>
      <c r="E46" s="114" t="str">
        <f t="shared" si="0"/>
        <v>Proposed Budget </v>
      </c>
      <c r="G46" s="581"/>
      <c r="H46" s="581"/>
      <c r="I46" s="581"/>
      <c r="J46" s="581"/>
    </row>
    <row r="47" spans="2:10" ht="15.75">
      <c r="B47" s="405">
        <f>inputPrYr!$B$35</f>
        <v>0</v>
      </c>
      <c r="C47" s="386" t="str">
        <f t="shared" si="0"/>
        <v>Actual for -2</v>
      </c>
      <c r="D47" s="386" t="str">
        <f t="shared" si="0"/>
        <v>Estimate for -1</v>
      </c>
      <c r="E47" s="256" t="str">
        <f t="shared" si="0"/>
        <v>Year for 0</v>
      </c>
      <c r="G47" s="581"/>
      <c r="H47" s="581"/>
      <c r="I47" s="581"/>
      <c r="J47" s="581"/>
    </row>
    <row r="48" spans="2:10" ht="15.75">
      <c r="B48" s="118" t="s">
        <v>194</v>
      </c>
      <c r="C48" s="411"/>
      <c r="D48" s="385">
        <f>C78</f>
        <v>0</v>
      </c>
      <c r="E48" s="209">
        <f>D78</f>
        <v>0</v>
      </c>
      <c r="G48" s="581"/>
      <c r="H48" s="581"/>
      <c r="I48" s="581"/>
      <c r="J48" s="581"/>
    </row>
    <row r="49" spans="2:10" ht="15.75">
      <c r="B49" s="245" t="s">
        <v>196</v>
      </c>
      <c r="C49" s="132"/>
      <c r="D49" s="132"/>
      <c r="E49" s="81"/>
      <c r="G49" s="581"/>
      <c r="H49" s="581"/>
      <c r="I49" s="581"/>
      <c r="J49" s="581"/>
    </row>
    <row r="50" spans="2:10" ht="15.75">
      <c r="B50" s="118" t="s">
        <v>50</v>
      </c>
      <c r="C50" s="411"/>
      <c r="D50" s="385">
        <f>inputPrYr!E35</f>
        <v>0</v>
      </c>
      <c r="E50" s="270" t="s">
        <v>35</v>
      </c>
      <c r="G50" s="581"/>
      <c r="H50" s="581"/>
      <c r="I50" s="581"/>
      <c r="J50" s="581"/>
    </row>
    <row r="51" spans="2:10" ht="15.75">
      <c r="B51" s="118" t="s">
        <v>51</v>
      </c>
      <c r="C51" s="411"/>
      <c r="D51" s="411"/>
      <c r="E51" s="66"/>
      <c r="G51" s="581"/>
      <c r="H51" s="581"/>
      <c r="I51" s="581"/>
      <c r="J51" s="581"/>
    </row>
    <row r="52" spans="2:10" ht="15.75">
      <c r="B52" s="118" t="s">
        <v>52</v>
      </c>
      <c r="C52" s="411"/>
      <c r="D52" s="411"/>
      <c r="E52" s="209" t="str">
        <f>mvalloc!E28</f>
        <v>  </v>
      </c>
      <c r="G52" s="581"/>
      <c r="H52" s="581"/>
      <c r="I52" s="581"/>
      <c r="J52" s="581"/>
    </row>
    <row r="53" spans="2:10" ht="15.75">
      <c r="B53" s="118" t="s">
        <v>53</v>
      </c>
      <c r="C53" s="411"/>
      <c r="D53" s="411"/>
      <c r="E53" s="209" t="str">
        <f>mvalloc!F28</f>
        <v>  </v>
      </c>
      <c r="G53" s="581"/>
      <c r="H53" s="581"/>
      <c r="I53" s="581"/>
      <c r="J53" s="581"/>
    </row>
    <row r="54" spans="2:10" ht="15.75">
      <c r="B54" s="132" t="s">
        <v>154</v>
      </c>
      <c r="C54" s="411"/>
      <c r="D54" s="411"/>
      <c r="E54" s="209" t="str">
        <f>mvalloc!G28</f>
        <v>  </v>
      </c>
      <c r="G54" s="581"/>
      <c r="H54" s="581"/>
      <c r="I54" s="581"/>
      <c r="J54" s="581"/>
    </row>
    <row r="55" spans="2:10" ht="15.75">
      <c r="B55" s="273" t="s">
        <v>955</v>
      </c>
      <c r="C55" s="411"/>
      <c r="D55" s="411"/>
      <c r="E55" s="209" t="str">
        <f>mvalloc!H28</f>
        <v> </v>
      </c>
      <c r="G55" s="581"/>
      <c r="H55" s="581"/>
      <c r="I55" s="581"/>
      <c r="J55" s="581"/>
    </row>
    <row r="56" spans="2:10" ht="15.75">
      <c r="B56" s="273" t="s">
        <v>956</v>
      </c>
      <c r="C56" s="411"/>
      <c r="D56" s="411"/>
      <c r="E56" s="209" t="str">
        <f>mvalloc!I28</f>
        <v> </v>
      </c>
      <c r="G56" s="581"/>
      <c r="H56" s="581"/>
      <c r="I56" s="581"/>
      <c r="J56" s="581"/>
    </row>
    <row r="57" spans="2:10" ht="15.75">
      <c r="B57" s="261"/>
      <c r="C57" s="411"/>
      <c r="D57" s="411"/>
      <c r="E57" s="66"/>
      <c r="G57" s="581"/>
      <c r="H57" s="581"/>
      <c r="I57" s="581"/>
      <c r="J57" s="581"/>
    </row>
    <row r="58" spans="2:10" ht="15.75">
      <c r="B58" s="261"/>
      <c r="C58" s="411"/>
      <c r="D58" s="411"/>
      <c r="E58" s="66"/>
      <c r="G58" s="581"/>
      <c r="H58" s="581"/>
      <c r="I58" s="581"/>
      <c r="J58" s="581"/>
    </row>
    <row r="59" spans="2:10" ht="15.75">
      <c r="B59" s="261"/>
      <c r="C59" s="411"/>
      <c r="D59" s="411"/>
      <c r="E59" s="66"/>
      <c r="G59" s="863" t="str">
        <f>CONCATENATE("Desired Carryover Into ",E1+1,"")</f>
        <v>Desired Carryover Into 1</v>
      </c>
      <c r="H59" s="864"/>
      <c r="I59" s="864"/>
      <c r="J59" s="833"/>
    </row>
    <row r="60" spans="2:10" ht="15.75">
      <c r="B60" s="261"/>
      <c r="C60" s="411"/>
      <c r="D60" s="411"/>
      <c r="E60" s="66"/>
      <c r="G60" s="567"/>
      <c r="H60" s="568"/>
      <c r="I60" s="569"/>
      <c r="J60" s="570"/>
    </row>
    <row r="61" spans="2:10" ht="15.75">
      <c r="B61" s="249" t="s">
        <v>57</v>
      </c>
      <c r="C61" s="411"/>
      <c r="D61" s="411"/>
      <c r="E61" s="66"/>
      <c r="G61" s="571" t="s">
        <v>683</v>
      </c>
      <c r="H61" s="569"/>
      <c r="I61" s="569"/>
      <c r="J61" s="572">
        <v>0</v>
      </c>
    </row>
    <row r="62" spans="2:10" ht="15.75">
      <c r="B62" s="250" t="s">
        <v>297</v>
      </c>
      <c r="C62" s="411"/>
      <c r="D62" s="411"/>
      <c r="E62" s="280">
        <f>Nhood!E24*-1</f>
        <v>0</v>
      </c>
      <c r="G62" s="567" t="s">
        <v>684</v>
      </c>
      <c r="H62" s="568"/>
      <c r="I62" s="568"/>
      <c r="J62" s="573">
        <f>IF(J61=0,"",ROUND((J61+E84-G74)/inputOth!E5*1000,3)-G79)</f>
      </c>
    </row>
    <row r="63" spans="2:10" ht="15.75">
      <c r="B63" s="250" t="s">
        <v>298</v>
      </c>
      <c r="C63" s="411"/>
      <c r="D63" s="411"/>
      <c r="E63" s="66"/>
      <c r="G63" s="574" t="str">
        <f>CONCATENATE("",E1," Tot Exp/Non-Appr Must Be:")</f>
        <v>0 Tot Exp/Non-Appr Must Be:</v>
      </c>
      <c r="H63" s="575"/>
      <c r="I63" s="576"/>
      <c r="J63" s="577">
        <f>IF(J61&gt;0,IF(E81&lt;E66,IF(J61=G74,E81,((J61-G74)*(1-D83))+E66),E81+(J61-G74)),0)</f>
        <v>0</v>
      </c>
    </row>
    <row r="64" spans="2:10" ht="15.75">
      <c r="B64" s="250" t="s">
        <v>300</v>
      </c>
      <c r="C64" s="384">
        <f>IF(C65*0.1&lt;C63,"Exceed 10% Rule","")</f>
      </c>
      <c r="D64" s="384">
        <f>IF(D65*0.1&lt;D63,"Exceed 10% Rule","")</f>
      </c>
      <c r="E64" s="277">
        <f>IF(E65*0.1+E84&lt;E63,"Exceed 10% Rule","")</f>
      </c>
      <c r="G64" s="578" t="s">
        <v>814</v>
      </c>
      <c r="H64" s="579"/>
      <c r="I64" s="579"/>
      <c r="J64" s="580">
        <f>IF(J61&gt;0,J63-E81,0)</f>
        <v>0</v>
      </c>
    </row>
    <row r="65" spans="2:10" ht="15.75">
      <c r="B65" s="252" t="s">
        <v>58</v>
      </c>
      <c r="C65" s="388">
        <f>SUM(C50:C63)</f>
        <v>0</v>
      </c>
      <c r="D65" s="388">
        <f>SUM(D50:D63)</f>
        <v>0</v>
      </c>
      <c r="E65" s="296">
        <f>SUM(E50:E63)</f>
        <v>0</v>
      </c>
      <c r="G65" s="581"/>
      <c r="H65" s="581"/>
      <c r="I65" s="581"/>
      <c r="J65" s="581"/>
    </row>
    <row r="66" spans="2:10" ht="15.75">
      <c r="B66" s="252" t="s">
        <v>59</v>
      </c>
      <c r="C66" s="388">
        <f>C48+C65</f>
        <v>0</v>
      </c>
      <c r="D66" s="388">
        <f>D48+D65</f>
        <v>0</v>
      </c>
      <c r="E66" s="296">
        <f>E48+E65</f>
        <v>0</v>
      </c>
      <c r="G66" s="863" t="str">
        <f>CONCATENATE("Projected Carryover Into ",E1+1,"")</f>
        <v>Projected Carryover Into 1</v>
      </c>
      <c r="H66" s="869"/>
      <c r="I66" s="869"/>
      <c r="J66" s="868"/>
    </row>
    <row r="67" spans="2:10" ht="15.75">
      <c r="B67" s="118" t="s">
        <v>62</v>
      </c>
      <c r="C67" s="250"/>
      <c r="D67" s="250"/>
      <c r="E67" s="128"/>
      <c r="G67" s="601"/>
      <c r="H67" s="568"/>
      <c r="I67" s="568"/>
      <c r="J67" s="602"/>
    </row>
    <row r="68" spans="2:10" ht="15.75">
      <c r="B68" s="261"/>
      <c r="C68" s="411"/>
      <c r="D68" s="411"/>
      <c r="E68" s="66"/>
      <c r="G68" s="583">
        <f>D78</f>
        <v>0</v>
      </c>
      <c r="H68" s="584" t="str">
        <f>CONCATENATE("",E1-1," Ending Cash Balance (est.)")</f>
        <v>-1 Ending Cash Balance (est.)</v>
      </c>
      <c r="I68" s="585"/>
      <c r="J68" s="602"/>
    </row>
    <row r="69" spans="2:10" ht="15.75">
      <c r="B69" s="261"/>
      <c r="C69" s="411"/>
      <c r="D69" s="411"/>
      <c r="E69" s="66"/>
      <c r="G69" s="583">
        <f>E65</f>
        <v>0</v>
      </c>
      <c r="H69" s="569" t="str">
        <f>CONCATENATE("",E1," Non-AV Receipts (est.)")</f>
        <v>0 Non-AV Receipts (est.)</v>
      </c>
      <c r="I69" s="585"/>
      <c r="J69" s="602"/>
    </row>
    <row r="70" spans="2:11" ht="15.75">
      <c r="B70" s="261"/>
      <c r="C70" s="411"/>
      <c r="D70" s="411"/>
      <c r="E70" s="66"/>
      <c r="G70" s="586">
        <f>IF(E83&gt;0,E82,E84)</f>
        <v>0</v>
      </c>
      <c r="H70" s="569" t="str">
        <f>CONCATENATE("",E1," Ad Valorem Tax (est.)")</f>
        <v>0 Ad Valorem Tax (est.)</v>
      </c>
      <c r="I70" s="585"/>
      <c r="J70" s="602"/>
      <c r="K70" s="622">
        <f>IF(G70=E84,"","Note: Does not include Delinquent Taxes")</f>
      </c>
    </row>
    <row r="71" spans="2:10" ht="15.75">
      <c r="B71" s="261"/>
      <c r="C71" s="411"/>
      <c r="D71" s="411"/>
      <c r="E71" s="66"/>
      <c r="G71" s="603">
        <f>SUM(G68:G70)</f>
        <v>0</v>
      </c>
      <c r="H71" s="569" t="str">
        <f>CONCATENATE("Total ",E1," Resources Available")</f>
        <v>Total 0 Resources Available</v>
      </c>
      <c r="I71" s="604"/>
      <c r="J71" s="602"/>
    </row>
    <row r="72" spans="2:10" ht="15.75">
      <c r="B72" s="261"/>
      <c r="C72" s="411"/>
      <c r="D72" s="411"/>
      <c r="E72" s="66"/>
      <c r="G72" s="605"/>
      <c r="H72" s="606"/>
      <c r="I72" s="568"/>
      <c r="J72" s="602"/>
    </row>
    <row r="73" spans="2:10" ht="15.75">
      <c r="B73" s="261"/>
      <c r="C73" s="411"/>
      <c r="D73" s="411"/>
      <c r="E73" s="66"/>
      <c r="G73" s="607">
        <f>ROUND(C77*0.05+C77,0)</f>
        <v>0</v>
      </c>
      <c r="H73" s="569" t="str">
        <f>CONCATENATE("Less ",E1-2," Expenditures + 5%")</f>
        <v>Less -2 Expenditures + 5%</v>
      </c>
      <c r="I73" s="604"/>
      <c r="J73" s="602"/>
    </row>
    <row r="74" spans="2:10" ht="15.75">
      <c r="B74" s="250" t="str">
        <f>CONCATENATE("Cash Forward (",E1," column)")</f>
        <v>Cash Forward (0 column)</v>
      </c>
      <c r="C74" s="411"/>
      <c r="D74" s="411"/>
      <c r="E74" s="66"/>
      <c r="G74" s="608">
        <f>G71-G73</f>
        <v>0</v>
      </c>
      <c r="H74" s="589" t="str">
        <f>CONCATENATE("Projected ",E1+1," carryover (est.)")</f>
        <v>Projected 1 carryover (est.)</v>
      </c>
      <c r="I74" s="609"/>
      <c r="J74" s="610"/>
    </row>
    <row r="75" spans="2:10" ht="15.75">
      <c r="B75" s="250" t="s">
        <v>298</v>
      </c>
      <c r="C75" s="411"/>
      <c r="D75" s="411"/>
      <c r="E75" s="66"/>
      <c r="G75" s="581"/>
      <c r="H75" s="581"/>
      <c r="I75" s="581"/>
      <c r="J75" s="581"/>
    </row>
    <row r="76" spans="2:10" ht="15.75">
      <c r="B76" s="250" t="s">
        <v>299</v>
      </c>
      <c r="C76" s="384">
        <f>IF(C77*0.1&lt;C75,"Exceed 10% Rule","")</f>
      </c>
      <c r="D76" s="384">
        <f>IF(D77*0.1&lt;D75,"Exceed 10% Rule","")</f>
      </c>
      <c r="E76" s="277">
        <f>IF(E77*0.1&lt;E75,"Exceed 10% Rule","")</f>
      </c>
      <c r="G76" s="860" t="s">
        <v>815</v>
      </c>
      <c r="H76" s="861"/>
      <c r="I76" s="861"/>
      <c r="J76" s="862"/>
    </row>
    <row r="77" spans="2:10" ht="15.75">
      <c r="B77" s="252" t="s">
        <v>63</v>
      </c>
      <c r="C77" s="388">
        <f>SUM(C68:C75)</f>
        <v>0</v>
      </c>
      <c r="D77" s="388">
        <f>SUM(D68:D75)</f>
        <v>0</v>
      </c>
      <c r="E77" s="296">
        <f>SUM(E68:E75)</f>
        <v>0</v>
      </c>
      <c r="G77" s="592"/>
      <c r="H77" s="584"/>
      <c r="I77" s="593"/>
      <c r="J77" s="594"/>
    </row>
    <row r="78" spans="2:10" ht="15.75">
      <c r="B78" s="118" t="s">
        <v>195</v>
      </c>
      <c r="C78" s="383">
        <f>C66-C77</f>
        <v>0</v>
      </c>
      <c r="D78" s="383">
        <f>D66-D77</f>
        <v>0</v>
      </c>
      <c r="E78" s="270" t="s">
        <v>35</v>
      </c>
      <c r="G78" s="595" t="str">
        <f>summ!H34</f>
        <v>  </v>
      </c>
      <c r="H78" s="584" t="str">
        <f>CONCATENATE("",E1," Fund Mill Rate")</f>
        <v>0 Fund Mill Rate</v>
      </c>
      <c r="I78" s="593"/>
      <c r="J78" s="594"/>
    </row>
    <row r="79" spans="2:10" ht="15.75">
      <c r="B79" s="146" t="str">
        <f>CONCATENATE("",E1-2,"/",E1-1,"/",E1," Budget Authority Amount:")</f>
        <v>-2/-1/0 Budget Authority Amount:</v>
      </c>
      <c r="C79" s="272">
        <f>inputOth!B49</f>
        <v>0</v>
      </c>
      <c r="D79" s="272">
        <f>inputPrYr!D35</f>
        <v>0</v>
      </c>
      <c r="E79" s="209">
        <f>E77</f>
        <v>0</v>
      </c>
      <c r="F79" s="263"/>
      <c r="G79" s="596" t="str">
        <f>summ!E34</f>
        <v>  </v>
      </c>
      <c r="H79" s="584" t="str">
        <f>CONCATENATE("",E1-1," Fund Mill Rate")</f>
        <v>-1 Fund Mill Rate</v>
      </c>
      <c r="I79" s="593"/>
      <c r="J79" s="594"/>
    </row>
    <row r="80" spans="2:10" ht="15.75">
      <c r="B80" s="231"/>
      <c r="C80" s="856" t="s">
        <v>675</v>
      </c>
      <c r="D80" s="857"/>
      <c r="E80" s="66"/>
      <c r="F80" s="423">
        <f>IF(E77/0.95-E77&lt;E80,"Exceeds 5%","")</f>
      </c>
      <c r="G80" s="597">
        <f>summ!H52</f>
        <v>0</v>
      </c>
      <c r="H80" s="584" t="str">
        <f>CONCATENATE("Total ",E1," Mill Rate")</f>
        <v>Total 0 Mill Rate</v>
      </c>
      <c r="I80" s="593"/>
      <c r="J80" s="594"/>
    </row>
    <row r="81" spans="2:10" ht="15.75">
      <c r="B81" s="417" t="str">
        <f>CONCATENATE(C94,"      ",D94)</f>
        <v>      </v>
      </c>
      <c r="C81" s="858" t="s">
        <v>676</v>
      </c>
      <c r="D81" s="859"/>
      <c r="E81" s="209">
        <f>E77+E80</f>
        <v>0</v>
      </c>
      <c r="G81" s="596">
        <f>summ!E52</f>
        <v>0</v>
      </c>
      <c r="H81" s="598" t="str">
        <f>CONCATENATE("Total ",E1-1," Mill Rate")</f>
        <v>Total -1 Mill Rate</v>
      </c>
      <c r="I81" s="599"/>
      <c r="J81" s="600"/>
    </row>
    <row r="82" spans="2:5" ht="15.75">
      <c r="B82" s="417" t="str">
        <f>CONCATENATE(C95,"      ",D95)</f>
        <v>      </v>
      </c>
      <c r="C82" s="264"/>
      <c r="D82" s="79" t="s">
        <v>64</v>
      </c>
      <c r="E82" s="70">
        <f>IF(E81-E66&gt;0,E81-E66,0)</f>
        <v>0</v>
      </c>
    </row>
    <row r="83" spans="2:10" ht="15.75">
      <c r="B83" s="79"/>
      <c r="C83" s="402" t="s">
        <v>677</v>
      </c>
      <c r="D83" s="624">
        <f>inputOth!$E$24</f>
        <v>0</v>
      </c>
      <c r="E83" s="209">
        <f>ROUND(IF(D83&gt;0,(E82*D83),0),0)</f>
        <v>0</v>
      </c>
      <c r="G83" s="741" t="s">
        <v>964</v>
      </c>
      <c r="H83" s="742"/>
      <c r="I83" s="744"/>
      <c r="J83" s="743" t="str">
        <f>cert!F62</f>
        <v>No</v>
      </c>
    </row>
    <row r="84" spans="2:10" ht="15.75">
      <c r="B84" s="45"/>
      <c r="C84" s="854" t="str">
        <f>CONCATENATE("Amount of  ",$E$1-1," Ad Valorem Tax")</f>
        <v>Amount of  -1 Ad Valorem Tax</v>
      </c>
      <c r="D84" s="855"/>
      <c r="E84" s="282">
        <f>E82+E83</f>
        <v>0</v>
      </c>
      <c r="G84" s="745" t="str">
        <f>CONCATENATE("Computed ",E1," tax levy limit amount")</f>
        <v>Computed 0 tax levy limit amount</v>
      </c>
      <c r="H84" s="746"/>
      <c r="I84" s="746"/>
      <c r="J84" s="747">
        <f>computation!J42</f>
        <v>0</v>
      </c>
    </row>
    <row r="85" spans="2:10" ht="15.75">
      <c r="B85" s="265" t="s">
        <v>115</v>
      </c>
      <c r="C85" s="709"/>
      <c r="D85" s="45"/>
      <c r="E85" s="45"/>
      <c r="G85" s="748" t="str">
        <f>CONCATENATE("Total ",E1," tax levy amount")</f>
        <v>Total 0 tax levy amount</v>
      </c>
      <c r="H85" s="749"/>
      <c r="I85" s="749"/>
      <c r="J85" s="750">
        <f>summ!G52</f>
        <v>0</v>
      </c>
    </row>
    <row r="92" spans="3:4" ht="15.75" hidden="1">
      <c r="C92" s="31">
        <f>IF(C35&gt;C37,"See Tab A","")</f>
      </c>
      <c r="D92" s="31">
        <f>IF(D35&gt;D37,"See Tab C","")</f>
      </c>
    </row>
    <row r="93" spans="3:4" ht="15.75" hidden="1">
      <c r="C93" s="31">
        <f>IF(C36&lt;0,"See Tab B","")</f>
      </c>
      <c r="D93" s="31">
        <f>IF(D36&lt;0,"See Tab D","")</f>
      </c>
    </row>
    <row r="94" spans="3:4" ht="15.75" hidden="1">
      <c r="C94" s="31">
        <f>IF(C77&gt;C79,"See Tab A","")</f>
      </c>
      <c r="D94" s="31">
        <f>IF(D77&gt;D79,"See Tab C","")</f>
      </c>
    </row>
    <row r="95" spans="3:4" ht="15.75" hidden="1">
      <c r="C95" s="31">
        <f>IF(C78&lt;0,"See Tab B","")</f>
      </c>
      <c r="D95" s="31">
        <f>IF(D78&lt;0,"See Tab D","")</f>
      </c>
    </row>
  </sheetData>
  <sheetProtection sheet="1"/>
  <mergeCells count="12">
    <mergeCell ref="G17:J17"/>
    <mergeCell ref="G24:J24"/>
    <mergeCell ref="G34:J34"/>
    <mergeCell ref="G59:J59"/>
    <mergeCell ref="G66:J66"/>
    <mergeCell ref="G76:J76"/>
    <mergeCell ref="C38:D38"/>
    <mergeCell ref="C39:D39"/>
    <mergeCell ref="C80:D80"/>
    <mergeCell ref="C81:D81"/>
    <mergeCell ref="C84:D84"/>
    <mergeCell ref="C42:D42"/>
  </mergeCells>
  <conditionalFormatting sqref="E38">
    <cfRule type="cellIs" priority="3" dxfId="351" operator="greaterThan" stopIfTrue="1">
      <formula>$E$35/0.95-$E$35</formula>
    </cfRule>
  </conditionalFormatting>
  <conditionalFormatting sqref="E80">
    <cfRule type="cellIs" priority="4" dxfId="351" operator="greaterThan" stopIfTrue="1">
      <formula>$E$77/0.95-$E$77</formula>
    </cfRule>
  </conditionalFormatting>
  <conditionalFormatting sqref="E75">
    <cfRule type="cellIs" priority="5" dxfId="351" operator="greaterThan" stopIfTrue="1">
      <formula>$E$77*0.1</formula>
    </cfRule>
  </conditionalFormatting>
  <conditionalFormatting sqref="C21">
    <cfRule type="cellIs" priority="6" dxfId="351" operator="greaterThan" stopIfTrue="1">
      <formula>$C$23*0.1</formula>
    </cfRule>
  </conditionalFormatting>
  <conditionalFormatting sqref="D21">
    <cfRule type="cellIs" priority="7" dxfId="351" operator="greaterThan" stopIfTrue="1">
      <formula>$D$23*0.1</formula>
    </cfRule>
  </conditionalFormatting>
  <conditionalFormatting sqref="E33">
    <cfRule type="cellIs" priority="8" dxfId="351" operator="greaterThan" stopIfTrue="1">
      <formula>$E$35*0.1</formula>
    </cfRule>
  </conditionalFormatting>
  <conditionalFormatting sqref="E21">
    <cfRule type="cellIs" priority="9" dxfId="351" operator="greaterThan" stopIfTrue="1">
      <formula>$E$23*0.1+E42</formula>
    </cfRule>
  </conditionalFormatting>
  <conditionalFormatting sqref="E63">
    <cfRule type="cellIs" priority="10" dxfId="351" operator="greaterThan" stopIfTrue="1">
      <formula>$E$65*0.1+E84</formula>
    </cfRule>
  </conditionalFormatting>
  <conditionalFormatting sqref="C75">
    <cfRule type="cellIs" priority="11" dxfId="2" operator="greaterThan" stopIfTrue="1">
      <formula>$C$77*0.1</formula>
    </cfRule>
  </conditionalFormatting>
  <conditionalFormatting sqref="D75">
    <cfRule type="cellIs" priority="12" dxfId="2" operator="greaterThan" stopIfTrue="1">
      <formula>$D$77*0.1</formula>
    </cfRule>
  </conditionalFormatting>
  <conditionalFormatting sqref="D63">
    <cfRule type="cellIs" priority="13" dxfId="2" operator="greaterThan" stopIfTrue="1">
      <formula>$D$65*0.1</formula>
    </cfRule>
  </conditionalFormatting>
  <conditionalFormatting sqref="C63">
    <cfRule type="cellIs" priority="14" dxfId="2" operator="greaterThan" stopIfTrue="1">
      <formula>$C$65*0.1</formula>
    </cfRule>
  </conditionalFormatting>
  <conditionalFormatting sqref="C33">
    <cfRule type="cellIs" priority="15" dxfId="2" operator="greaterThan" stopIfTrue="1">
      <formula>$C$35*0.1</formula>
    </cfRule>
  </conditionalFormatting>
  <conditionalFormatting sqref="D33">
    <cfRule type="cellIs" priority="16" dxfId="2" operator="greaterThan" stopIfTrue="1">
      <formula>$D$35*0.1</formula>
    </cfRule>
  </conditionalFormatting>
  <conditionalFormatting sqref="C35">
    <cfRule type="cellIs" priority="17" dxfId="2" operator="greaterThan" stopIfTrue="1">
      <formula>$C$37</formula>
    </cfRule>
  </conditionalFormatting>
  <conditionalFormatting sqref="D35">
    <cfRule type="cellIs" priority="18" dxfId="2" operator="greaterThan" stopIfTrue="1">
      <formula>$D$37</formula>
    </cfRule>
  </conditionalFormatting>
  <conditionalFormatting sqref="C36 C78">
    <cfRule type="cellIs" priority="19" dxfId="2" operator="lessThan" stopIfTrue="1">
      <formula>0</formula>
    </cfRule>
  </conditionalFormatting>
  <conditionalFormatting sqref="C77">
    <cfRule type="cellIs" priority="20" dxfId="2" operator="greaterThan" stopIfTrue="1">
      <formula>$C$79</formula>
    </cfRule>
  </conditionalFormatting>
  <conditionalFormatting sqref="D77">
    <cfRule type="cellIs" priority="21" dxfId="2" operator="greaterThan" stopIfTrue="1">
      <formula>$D$79</formula>
    </cfRule>
  </conditionalFormatting>
  <conditionalFormatting sqref="D36 D78">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7" r:id="rId1"/>
  <headerFooter alignWithMargins="0">
    <oddHeader>&amp;RState of Kansas
County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Q130" sqref="Q130"/>
    </sheetView>
  </sheetViews>
  <sheetFormatPr defaultColWidth="8.796875" defaultRowHeight="15"/>
  <cols>
    <col min="1" max="1" width="2.3984375" style="31" customWidth="1"/>
    <col min="2" max="2" width="31.09765625" style="31" customWidth="1"/>
    <col min="3" max="4" width="15.796875" style="31" customWidth="1"/>
    <col min="5" max="5" width="16.19921875" style="31" customWidth="1"/>
    <col min="6" max="6" width="8.8984375" style="31" customWidth="1"/>
    <col min="7" max="7" width="10.19921875" style="31" customWidth="1"/>
    <col min="8" max="8" width="8.8984375" style="31" customWidth="1"/>
    <col min="9" max="9" width="5.796875" style="31" customWidth="1"/>
    <col min="10" max="10" width="10" style="31" customWidth="1"/>
    <col min="11" max="16384" width="8.8984375" style="31" customWidth="1"/>
  </cols>
  <sheetData>
    <row r="1" spans="2:5" ht="15.75">
      <c r="B1" s="160">
        <f>inputPrYr!C3</f>
        <v>0</v>
      </c>
      <c r="C1" s="45"/>
      <c r="D1" s="45"/>
      <c r="E1" s="230">
        <f>inputPrYr!C5</f>
        <v>0</v>
      </c>
    </row>
    <row r="2" spans="2:5" ht="15.75">
      <c r="B2" s="169"/>
      <c r="C2" s="266"/>
      <c r="D2" s="266"/>
      <c r="E2" s="267"/>
    </row>
    <row r="3" spans="2:5" ht="15.75">
      <c r="B3" s="414" t="s">
        <v>162</v>
      </c>
      <c r="C3" s="110"/>
      <c r="D3" s="110"/>
      <c r="E3" s="110"/>
    </row>
    <row r="4" spans="2:5" ht="15.75">
      <c r="B4" s="44" t="s">
        <v>49</v>
      </c>
      <c r="C4" s="563" t="s">
        <v>811</v>
      </c>
      <c r="D4" s="564" t="s">
        <v>812</v>
      </c>
      <c r="E4" s="114" t="s">
        <v>813</v>
      </c>
    </row>
    <row r="5" spans="2:5" ht="15.75">
      <c r="B5" s="405">
        <f>inputPrYr!$B$36</f>
        <v>0</v>
      </c>
      <c r="C5" s="386" t="str">
        <f>CONCATENATE("Actual for ",E1-2,"")</f>
        <v>Actual for -2</v>
      </c>
      <c r="D5" s="386" t="str">
        <f>CONCATENATE("Estimate for ",E1-1,"")</f>
        <v>Estimate for -1</v>
      </c>
      <c r="E5" s="244" t="str">
        <f>CONCATENATE("Year for ",E1,"")</f>
        <v>Year for 0</v>
      </c>
    </row>
    <row r="6" spans="2:5" ht="15.75">
      <c r="B6" s="118" t="s">
        <v>194</v>
      </c>
      <c r="C6" s="411"/>
      <c r="D6" s="385">
        <f>C36</f>
        <v>0</v>
      </c>
      <c r="E6" s="209">
        <f>D36</f>
        <v>0</v>
      </c>
    </row>
    <row r="7" spans="2:5" ht="15.75">
      <c r="B7" s="234" t="s">
        <v>196</v>
      </c>
      <c r="C7" s="132"/>
      <c r="D7" s="132"/>
      <c r="E7" s="81"/>
    </row>
    <row r="8" spans="2:5" ht="15.75">
      <c r="B8" s="118" t="s">
        <v>50</v>
      </c>
      <c r="C8" s="411"/>
      <c r="D8" s="385">
        <f>inputPrYr!E36</f>
        <v>0</v>
      </c>
      <c r="E8" s="270" t="s">
        <v>35</v>
      </c>
    </row>
    <row r="9" spans="2:5" ht="15.75">
      <c r="B9" s="118" t="s">
        <v>51</v>
      </c>
      <c r="C9" s="411"/>
      <c r="D9" s="411"/>
      <c r="E9" s="66"/>
    </row>
    <row r="10" spans="2:5" ht="15.75">
      <c r="B10" s="118" t="s">
        <v>52</v>
      </c>
      <c r="C10" s="411"/>
      <c r="D10" s="411"/>
      <c r="E10" s="209" t="str">
        <f>mvalloc!E29</f>
        <v>  </v>
      </c>
    </row>
    <row r="11" spans="2:5" ht="15.75">
      <c r="B11" s="118" t="s">
        <v>53</v>
      </c>
      <c r="C11" s="411"/>
      <c r="D11" s="411"/>
      <c r="E11" s="209" t="str">
        <f>mvalloc!F29</f>
        <v>  </v>
      </c>
    </row>
    <row r="12" spans="2:5" ht="15.75">
      <c r="B12" s="132" t="s">
        <v>154</v>
      </c>
      <c r="C12" s="411"/>
      <c r="D12" s="411"/>
      <c r="E12" s="209" t="str">
        <f>mvalloc!G29</f>
        <v>  </v>
      </c>
    </row>
    <row r="13" spans="2:5" ht="15.75">
      <c r="B13" s="273" t="s">
        <v>955</v>
      </c>
      <c r="C13" s="411"/>
      <c r="D13" s="411"/>
      <c r="E13" s="209" t="str">
        <f>mvalloc!H29</f>
        <v> </v>
      </c>
    </row>
    <row r="14" spans="2:5" ht="15.75">
      <c r="B14" s="273" t="s">
        <v>956</v>
      </c>
      <c r="C14" s="411"/>
      <c r="D14" s="411"/>
      <c r="E14" s="209" t="str">
        <f>mvalloc!I29</f>
        <v> </v>
      </c>
    </row>
    <row r="15" spans="2:5" ht="15.75">
      <c r="B15" s="261"/>
      <c r="C15" s="411"/>
      <c r="D15" s="411"/>
      <c r="E15" s="66"/>
    </row>
    <row r="16" spans="2:5" ht="15.75">
      <c r="B16" s="261"/>
      <c r="C16" s="411"/>
      <c r="D16" s="411"/>
      <c r="E16" s="66"/>
    </row>
    <row r="17" spans="2:10" ht="15.75">
      <c r="B17" s="261"/>
      <c r="C17" s="411"/>
      <c r="D17" s="411"/>
      <c r="E17" s="66"/>
      <c r="G17" s="863" t="str">
        <f>CONCATENATE("Desired Carryover Into ",E1+1,"")</f>
        <v>Desired Carryover Into 1</v>
      </c>
      <c r="H17" s="864"/>
      <c r="I17" s="864"/>
      <c r="J17" s="833"/>
    </row>
    <row r="18" spans="2:10" ht="15.75">
      <c r="B18" s="261"/>
      <c r="C18" s="411"/>
      <c r="D18" s="411"/>
      <c r="E18" s="66"/>
      <c r="G18" s="567"/>
      <c r="H18" s="568"/>
      <c r="I18" s="569"/>
      <c r="J18" s="570"/>
    </row>
    <row r="19" spans="2:10" ht="15.75">
      <c r="B19" s="249" t="s">
        <v>57</v>
      </c>
      <c r="C19" s="411"/>
      <c r="D19" s="411"/>
      <c r="E19" s="66"/>
      <c r="G19" s="571" t="s">
        <v>683</v>
      </c>
      <c r="H19" s="569"/>
      <c r="I19" s="569"/>
      <c r="J19" s="572">
        <v>0</v>
      </c>
    </row>
    <row r="20" spans="2:10" ht="15.75">
      <c r="B20" s="250" t="s">
        <v>297</v>
      </c>
      <c r="C20" s="411"/>
      <c r="D20" s="411"/>
      <c r="E20" s="280">
        <f>Nhood!E25*-1</f>
        <v>0</v>
      </c>
      <c r="G20" s="567" t="s">
        <v>684</v>
      </c>
      <c r="H20" s="568"/>
      <c r="I20" s="568"/>
      <c r="J20" s="573">
        <f>IF(J19=0,"",ROUND((J19+E42-G32)/inputOth!E5*1000,3)-G37)</f>
      </c>
    </row>
    <row r="21" spans="2:10" ht="15.75">
      <c r="B21" s="250" t="s">
        <v>298</v>
      </c>
      <c r="C21" s="411"/>
      <c r="D21" s="411"/>
      <c r="E21" s="66"/>
      <c r="G21" s="574" t="str">
        <f>CONCATENATE("",E1," Tot Exp/Non-Appr Must Be:")</f>
        <v>0 Tot Exp/Non-Appr Must Be:</v>
      </c>
      <c r="H21" s="575"/>
      <c r="I21" s="576"/>
      <c r="J21" s="577">
        <f>IF(J19&gt;0,IF(E39&lt;E24,IF(J19=G32,E39,((J19-G32)*(1-D41))+E24),E39+(J19-G32)),0)</f>
        <v>0</v>
      </c>
    </row>
    <row r="22" spans="2:10" ht="15.75">
      <c r="B22" s="250" t="s">
        <v>300</v>
      </c>
      <c r="C22" s="384">
        <f>IF(C23*0.1&lt;C21,"Exceed 10% Rule","")</f>
      </c>
      <c r="D22" s="384">
        <f>IF(D23*0.1&lt;D21,"Exceed 10% Rule","")</f>
      </c>
      <c r="E22" s="277">
        <f>IF(E23*0.1+E42&lt;E21,"Exceed 10% Rule","")</f>
      </c>
      <c r="G22" s="578" t="s">
        <v>814</v>
      </c>
      <c r="H22" s="579"/>
      <c r="I22" s="579"/>
      <c r="J22" s="580">
        <f>IF(J19&gt;0,J21-E39,0)</f>
        <v>0</v>
      </c>
    </row>
    <row r="23" spans="2:10" ht="15.75">
      <c r="B23" s="252" t="s">
        <v>58</v>
      </c>
      <c r="C23" s="388">
        <f>SUM(C8:C21)</f>
        <v>0</v>
      </c>
      <c r="D23" s="388">
        <f>SUM(D8:D21)</f>
        <v>0</v>
      </c>
      <c r="E23" s="296">
        <f>SUM(E8:E21)</f>
        <v>0</v>
      </c>
      <c r="G23" s="581"/>
      <c r="H23" s="581"/>
      <c r="I23" s="581"/>
      <c r="J23" s="581"/>
    </row>
    <row r="24" spans="2:10" ht="15.75">
      <c r="B24" s="252" t="s">
        <v>59</v>
      </c>
      <c r="C24" s="388">
        <f>C6+C23</f>
        <v>0</v>
      </c>
      <c r="D24" s="388">
        <f>D6+D23</f>
        <v>0</v>
      </c>
      <c r="E24" s="296">
        <f>E6+E23</f>
        <v>0</v>
      </c>
      <c r="G24" s="863" t="str">
        <f>CONCATENATE("Projected Carryover Into ",E1+1,"")</f>
        <v>Projected Carryover Into 1</v>
      </c>
      <c r="H24" s="867"/>
      <c r="I24" s="867"/>
      <c r="J24" s="868"/>
    </row>
    <row r="25" spans="2:10" ht="15.75">
      <c r="B25" s="118" t="s">
        <v>62</v>
      </c>
      <c r="C25" s="250"/>
      <c r="D25" s="250"/>
      <c r="E25" s="128"/>
      <c r="G25" s="567"/>
      <c r="H25" s="569"/>
      <c r="I25" s="569"/>
      <c r="J25" s="582"/>
    </row>
    <row r="26" spans="2:10" ht="15.75">
      <c r="B26" s="261"/>
      <c r="C26" s="411"/>
      <c r="D26" s="411"/>
      <c r="E26" s="66"/>
      <c r="G26" s="583">
        <f>D36</f>
        <v>0</v>
      </c>
      <c r="H26" s="584" t="str">
        <f>CONCATENATE("",E1-1," Ending Cash Balance (est.)")</f>
        <v>-1 Ending Cash Balance (est.)</v>
      </c>
      <c r="I26" s="585"/>
      <c r="J26" s="582"/>
    </row>
    <row r="27" spans="2:10" ht="15.75">
      <c r="B27" s="261"/>
      <c r="C27" s="411"/>
      <c r="D27" s="411"/>
      <c r="E27" s="66"/>
      <c r="G27" s="583">
        <f>E23</f>
        <v>0</v>
      </c>
      <c r="H27" s="569" t="str">
        <f>CONCATENATE("",E1," Non-AV Receipts (est.)")</f>
        <v>0 Non-AV Receipts (est.)</v>
      </c>
      <c r="I27" s="585"/>
      <c r="J27" s="582"/>
    </row>
    <row r="28" spans="2:11" ht="15.75">
      <c r="B28" s="261"/>
      <c r="C28" s="411"/>
      <c r="D28" s="411"/>
      <c r="E28" s="66"/>
      <c r="G28" s="586">
        <f>IF(E41&gt;0,E40,E42)</f>
        <v>0</v>
      </c>
      <c r="H28" s="569" t="str">
        <f>CONCATENATE("",E1," Ad Valorem Tax (est.)")</f>
        <v>0 Ad Valorem Tax (est.)</v>
      </c>
      <c r="I28" s="585"/>
      <c r="J28" s="582"/>
      <c r="K28" s="622">
        <f>IF(G28=E42,"","Note: Does not include Delinquent Taxes")</f>
      </c>
    </row>
    <row r="29" spans="2:10" ht="15.75">
      <c r="B29" s="261"/>
      <c r="C29" s="411"/>
      <c r="D29" s="411"/>
      <c r="E29" s="66"/>
      <c r="G29" s="583">
        <f>SUM(G26:G28)</f>
        <v>0</v>
      </c>
      <c r="H29" s="569" t="str">
        <f>CONCATENATE("Total ",E1," Resources Available")</f>
        <v>Total 0 Resources Available</v>
      </c>
      <c r="I29" s="585"/>
      <c r="J29" s="582"/>
    </row>
    <row r="30" spans="2:10" ht="15.75">
      <c r="B30" s="261"/>
      <c r="C30" s="411"/>
      <c r="D30" s="411"/>
      <c r="E30" s="66"/>
      <c r="G30" s="587"/>
      <c r="H30" s="569"/>
      <c r="I30" s="569"/>
      <c r="J30" s="582"/>
    </row>
    <row r="31" spans="2:10" ht="15.75">
      <c r="B31" s="261"/>
      <c r="C31" s="411"/>
      <c r="D31" s="411"/>
      <c r="E31" s="66"/>
      <c r="G31" s="586">
        <f>ROUND(C35*0.05+C35,0)</f>
        <v>0</v>
      </c>
      <c r="H31" s="569" t="str">
        <f>CONCATENATE("Less ",E1-2," Expenditures + 5%")</f>
        <v>Less -2 Expenditures + 5%</v>
      </c>
      <c r="I31" s="585"/>
      <c r="J31" s="602"/>
    </row>
    <row r="32" spans="2:10" ht="15.75">
      <c r="B32" s="250" t="str">
        <f>CONCATENATE("Cash Forward (",E1," column)")</f>
        <v>Cash Forward (0 column)</v>
      </c>
      <c r="C32" s="411"/>
      <c r="D32" s="411"/>
      <c r="E32" s="66"/>
      <c r="G32" s="588">
        <f>G29-G31</f>
        <v>0</v>
      </c>
      <c r="H32" s="589" t="str">
        <f>CONCATENATE("Projected ",E1+1," carryover (est.)")</f>
        <v>Projected 1 carryover (est.)</v>
      </c>
      <c r="I32" s="590"/>
      <c r="J32" s="591"/>
    </row>
    <row r="33" spans="2:10" ht="15.75">
      <c r="B33" s="250" t="s">
        <v>298</v>
      </c>
      <c r="C33" s="411"/>
      <c r="D33" s="411"/>
      <c r="E33" s="66"/>
      <c r="G33" s="581"/>
      <c r="H33" s="581"/>
      <c r="I33" s="581"/>
      <c r="J33" s="581"/>
    </row>
    <row r="34" spans="2:10" ht="15.75">
      <c r="B34" s="250" t="s">
        <v>299</v>
      </c>
      <c r="C34" s="384">
        <f>IF(C35*0.1&lt;C33,"Exceed 10% Rule","")</f>
      </c>
      <c r="D34" s="384">
        <f>IF(D35*0.1&lt;D33,"Exceed 10% Rule","")</f>
      </c>
      <c r="E34" s="277">
        <f>IF(E35*0.1&lt;E33,"Exceed 10% Rule","")</f>
      </c>
      <c r="G34" s="860" t="s">
        <v>815</v>
      </c>
      <c r="H34" s="861"/>
      <c r="I34" s="861"/>
      <c r="J34" s="862"/>
    </row>
    <row r="35" spans="2:10" ht="15.75">
      <c r="B35" s="252" t="s">
        <v>63</v>
      </c>
      <c r="C35" s="388">
        <f>SUM(C26:C33)</f>
        <v>0</v>
      </c>
      <c r="D35" s="388">
        <f>SUM(D26:D33)</f>
        <v>0</v>
      </c>
      <c r="E35" s="296">
        <f>SUM(E26:E33)</f>
        <v>0</v>
      </c>
      <c r="G35" s="592"/>
      <c r="H35" s="584"/>
      <c r="I35" s="593"/>
      <c r="J35" s="594"/>
    </row>
    <row r="36" spans="2:10" ht="15.75">
      <c r="B36" s="118" t="s">
        <v>195</v>
      </c>
      <c r="C36" s="383">
        <f>C24-C35</f>
        <v>0</v>
      </c>
      <c r="D36" s="383">
        <f>D24-D35</f>
        <v>0</v>
      </c>
      <c r="E36" s="270" t="s">
        <v>35</v>
      </c>
      <c r="G36" s="595" t="str">
        <f>summ!H35</f>
        <v>  </v>
      </c>
      <c r="H36" s="584" t="str">
        <f>CONCATENATE("",E1," Fund Mill Rate")</f>
        <v>0 Fund Mill Rate</v>
      </c>
      <c r="I36" s="593"/>
      <c r="J36" s="594"/>
    </row>
    <row r="37" spans="2:10" ht="15.75">
      <c r="B37" s="146" t="str">
        <f>CONCATENATE("",E1-2,"/",E1-1,"/",E1," Budget Authority Amount:")</f>
        <v>-2/-1/0 Budget Authority Amount:</v>
      </c>
      <c r="C37" s="272">
        <f>inputOth!B50</f>
        <v>0</v>
      </c>
      <c r="D37" s="272">
        <f>inputPrYr!D36</f>
        <v>0</v>
      </c>
      <c r="E37" s="209">
        <f>E35</f>
        <v>0</v>
      </c>
      <c r="F37" s="263"/>
      <c r="G37" s="596" t="str">
        <f>summ!E35</f>
        <v>  </v>
      </c>
      <c r="H37" s="584" t="str">
        <f>CONCATENATE("",E1-1," Fund Mill Rate")</f>
        <v>-1 Fund Mill Rate</v>
      </c>
      <c r="I37" s="593"/>
      <c r="J37" s="594"/>
    </row>
    <row r="38" spans="2:10" ht="15.75">
      <c r="B38" s="231"/>
      <c r="C38" s="856" t="s">
        <v>675</v>
      </c>
      <c r="D38" s="857"/>
      <c r="E38" s="66"/>
      <c r="F38" s="423">
        <f>IF(E35/0.95-E35&lt;E38,"Exceeds 5%","")</f>
      </c>
      <c r="G38" s="597">
        <f>summ!H52</f>
        <v>0</v>
      </c>
      <c r="H38" s="584" t="str">
        <f>CONCATENATE("Total ",E1," Mill Rate")</f>
        <v>Total 0 Mill Rate</v>
      </c>
      <c r="I38" s="593"/>
      <c r="J38" s="594"/>
    </row>
    <row r="39" spans="2:10" ht="15.75">
      <c r="B39" s="417" t="str">
        <f>CONCATENATE(C92,"     ",D92)</f>
        <v>     </v>
      </c>
      <c r="C39" s="858" t="s">
        <v>676</v>
      </c>
      <c r="D39" s="859"/>
      <c r="E39" s="70">
        <f>E35+E38</f>
        <v>0</v>
      </c>
      <c r="G39" s="596">
        <f>summ!E52</f>
        <v>0</v>
      </c>
      <c r="H39" s="598" t="str">
        <f>CONCATENATE("Total ",E1-1," Mill Rate")</f>
        <v>Total -1 Mill Rate</v>
      </c>
      <c r="I39" s="599"/>
      <c r="J39" s="600"/>
    </row>
    <row r="40" spans="2:10" ht="15.75">
      <c r="B40" s="417" t="str">
        <f>CONCATENATE(C93,"      ",D93)</f>
        <v>      </v>
      </c>
      <c r="C40" s="264"/>
      <c r="D40" s="79" t="s">
        <v>64</v>
      </c>
      <c r="E40" s="70">
        <f>IF(E39-E24&gt;0,E39-E24,0)</f>
        <v>0</v>
      </c>
      <c r="G40" s="581"/>
      <c r="H40" s="581"/>
      <c r="I40" s="581"/>
      <c r="J40" s="581"/>
    </row>
    <row r="41" spans="2:10" ht="15.75">
      <c r="B41" s="79"/>
      <c r="C41" s="402" t="s">
        <v>677</v>
      </c>
      <c r="D41" s="624">
        <f>inputOth!$E$24</f>
        <v>0</v>
      </c>
      <c r="E41" s="209">
        <f>ROUND(IF(D41&gt;0,(E40*D41),0),0)</f>
        <v>0</v>
      </c>
      <c r="G41" s="741" t="s">
        <v>964</v>
      </c>
      <c r="H41" s="742"/>
      <c r="I41" s="744"/>
      <c r="J41" s="743" t="str">
        <f>cert!F62</f>
        <v>No</v>
      </c>
    </row>
    <row r="42" spans="2:10" ht="15.75">
      <c r="B42" s="45"/>
      <c r="C42" s="854" t="str">
        <f>CONCATENATE("Amount of  ",$E$1-1," Ad Valorem Tax")</f>
        <v>Amount of  -1 Ad Valorem Tax</v>
      </c>
      <c r="D42" s="855"/>
      <c r="E42" s="282">
        <f>E40+E41</f>
        <v>0</v>
      </c>
      <c r="G42" s="758" t="str">
        <f>CONCATENATE("Computed ",E1," tax levy limit amount")</f>
        <v>Computed 0 tax levy limit amount</v>
      </c>
      <c r="H42" s="759"/>
      <c r="I42" s="759"/>
      <c r="J42" s="760">
        <f>computation!J42</f>
        <v>0</v>
      </c>
    </row>
    <row r="43" spans="2:10" ht="15.75">
      <c r="B43" s="45"/>
      <c r="C43" s="547"/>
      <c r="D43" s="45"/>
      <c r="E43" s="45"/>
      <c r="G43" s="761" t="str">
        <f>CONCATENATE("Total ",E1," tax levy amount")</f>
        <v>Total 0 tax levy amount</v>
      </c>
      <c r="H43" s="762"/>
      <c r="I43" s="762"/>
      <c r="J43" s="763">
        <f>summ!G52</f>
        <v>0</v>
      </c>
    </row>
    <row r="44" spans="2:10" ht="15.75">
      <c r="B44" s="45"/>
      <c r="C44" s="547"/>
      <c r="D44" s="45"/>
      <c r="E44" s="45"/>
      <c r="G44" s="581"/>
      <c r="H44" s="581"/>
      <c r="I44" s="581"/>
      <c r="J44" s="581"/>
    </row>
    <row r="45" spans="2:10" ht="15.75">
      <c r="B45" s="45"/>
      <c r="C45" s="110"/>
      <c r="D45" s="110"/>
      <c r="E45" s="110"/>
      <c r="G45" s="581"/>
      <c r="H45" s="581"/>
      <c r="I45" s="581"/>
      <c r="J45" s="581"/>
    </row>
    <row r="46" spans="2:10" ht="15.75">
      <c r="B46" s="44" t="s">
        <v>49</v>
      </c>
      <c r="C46" s="563" t="str">
        <f aca="true" t="shared" si="0" ref="C46:E47">C4</f>
        <v>Prior Year </v>
      </c>
      <c r="D46" s="564" t="str">
        <f t="shared" si="0"/>
        <v>Current Year </v>
      </c>
      <c r="E46" s="114" t="str">
        <f t="shared" si="0"/>
        <v>Proposed Budget </v>
      </c>
      <c r="G46" s="581"/>
      <c r="H46" s="581"/>
      <c r="I46" s="581"/>
      <c r="J46" s="581"/>
    </row>
    <row r="47" spans="2:10" ht="15.75">
      <c r="B47" s="405">
        <f>inputPrYr!$B$37</f>
        <v>0</v>
      </c>
      <c r="C47" s="386" t="str">
        <f t="shared" si="0"/>
        <v>Actual for -2</v>
      </c>
      <c r="D47" s="386" t="str">
        <f t="shared" si="0"/>
        <v>Estimate for -1</v>
      </c>
      <c r="E47" s="256" t="str">
        <f t="shared" si="0"/>
        <v>Year for 0</v>
      </c>
      <c r="G47" s="581"/>
      <c r="H47" s="581"/>
      <c r="I47" s="581"/>
      <c r="J47" s="581"/>
    </row>
    <row r="48" spans="2:10" ht="15.75">
      <c r="B48" s="118" t="s">
        <v>194</v>
      </c>
      <c r="C48" s="411"/>
      <c r="D48" s="385">
        <f>C78</f>
        <v>0</v>
      </c>
      <c r="E48" s="209">
        <f>D78</f>
        <v>0</v>
      </c>
      <c r="G48" s="581"/>
      <c r="H48" s="581"/>
      <c r="I48" s="581"/>
      <c r="J48" s="581"/>
    </row>
    <row r="49" spans="2:10" ht="15.75">
      <c r="B49" s="245" t="s">
        <v>196</v>
      </c>
      <c r="C49" s="132"/>
      <c r="D49" s="132"/>
      <c r="E49" s="81"/>
      <c r="G49" s="581"/>
      <c r="H49" s="581"/>
      <c r="I49" s="581"/>
      <c r="J49" s="581"/>
    </row>
    <row r="50" spans="2:10" ht="15.75">
      <c r="B50" s="118" t="s">
        <v>50</v>
      </c>
      <c r="C50" s="411"/>
      <c r="D50" s="385">
        <f>inputPrYr!E37</f>
        <v>0</v>
      </c>
      <c r="E50" s="270" t="s">
        <v>35</v>
      </c>
      <c r="G50" s="581"/>
      <c r="H50" s="581"/>
      <c r="I50" s="581"/>
      <c r="J50" s="581"/>
    </row>
    <row r="51" spans="2:10" ht="15.75">
      <c r="B51" s="118" t="s">
        <v>51</v>
      </c>
      <c r="C51" s="411"/>
      <c r="D51" s="411"/>
      <c r="E51" s="66"/>
      <c r="G51" s="581"/>
      <c r="H51" s="581"/>
      <c r="I51" s="581"/>
      <c r="J51" s="581"/>
    </row>
    <row r="52" spans="2:10" ht="15.75">
      <c r="B52" s="118" t="s">
        <v>52</v>
      </c>
      <c r="C52" s="411"/>
      <c r="D52" s="411"/>
      <c r="E52" s="209" t="str">
        <f>mvalloc!E30</f>
        <v>  </v>
      </c>
      <c r="G52" s="581"/>
      <c r="H52" s="581"/>
      <c r="I52" s="581"/>
      <c r="J52" s="581"/>
    </row>
    <row r="53" spans="2:10" ht="15.75">
      <c r="B53" s="118" t="s">
        <v>53</v>
      </c>
      <c r="C53" s="411"/>
      <c r="D53" s="411"/>
      <c r="E53" s="209" t="str">
        <f>mvalloc!F30</f>
        <v>  </v>
      </c>
      <c r="G53" s="581"/>
      <c r="H53" s="581"/>
      <c r="I53" s="581"/>
      <c r="J53" s="581"/>
    </row>
    <row r="54" spans="2:10" ht="15.75">
      <c r="B54" s="132" t="s">
        <v>154</v>
      </c>
      <c r="C54" s="411"/>
      <c r="D54" s="411"/>
      <c r="E54" s="209" t="str">
        <f>mvalloc!G30</f>
        <v>  </v>
      </c>
      <c r="G54" s="581"/>
      <c r="H54" s="581"/>
      <c r="I54" s="581"/>
      <c r="J54" s="581"/>
    </row>
    <row r="55" spans="2:10" ht="15.75">
      <c r="B55" s="273" t="s">
        <v>955</v>
      </c>
      <c r="C55" s="411"/>
      <c r="D55" s="411"/>
      <c r="E55" s="209" t="str">
        <f>mvalloc!H30</f>
        <v> </v>
      </c>
      <c r="G55" s="581"/>
      <c r="H55" s="581"/>
      <c r="I55" s="581"/>
      <c r="J55" s="581"/>
    </row>
    <row r="56" spans="2:10" ht="15.75">
      <c r="B56" s="273" t="s">
        <v>956</v>
      </c>
      <c r="C56" s="411"/>
      <c r="D56" s="411"/>
      <c r="E56" s="209" t="str">
        <f>mvalloc!I30</f>
        <v> </v>
      </c>
      <c r="G56" s="581"/>
      <c r="H56" s="581"/>
      <c r="I56" s="581"/>
      <c r="J56" s="581"/>
    </row>
    <row r="57" spans="2:10" ht="15.75">
      <c r="B57" s="261"/>
      <c r="C57" s="411"/>
      <c r="D57" s="411"/>
      <c r="E57" s="66"/>
      <c r="G57" s="581"/>
      <c r="H57" s="581"/>
      <c r="I57" s="581"/>
      <c r="J57" s="581"/>
    </row>
    <row r="58" spans="2:10" ht="15.75">
      <c r="B58" s="261"/>
      <c r="C58" s="411"/>
      <c r="D58" s="411"/>
      <c r="E58" s="66"/>
      <c r="G58" s="581"/>
      <c r="H58" s="581"/>
      <c r="I58" s="581"/>
      <c r="J58" s="581"/>
    </row>
    <row r="59" spans="2:10" ht="15.75">
      <c r="B59" s="261"/>
      <c r="C59" s="411"/>
      <c r="D59" s="411"/>
      <c r="E59" s="66"/>
      <c r="G59" s="863" t="str">
        <f>CONCATENATE("Desired Carryover Into ",E1+1,"")</f>
        <v>Desired Carryover Into 1</v>
      </c>
      <c r="H59" s="864"/>
      <c r="I59" s="864"/>
      <c r="J59" s="833"/>
    </row>
    <row r="60" spans="2:10" ht="15.75">
      <c r="B60" s="249"/>
      <c r="C60" s="411"/>
      <c r="D60" s="411"/>
      <c r="E60" s="66"/>
      <c r="G60" s="567"/>
      <c r="H60" s="568"/>
      <c r="I60" s="569"/>
      <c r="J60" s="570"/>
    </row>
    <row r="61" spans="2:10" ht="15.75">
      <c r="B61" s="249" t="s">
        <v>57</v>
      </c>
      <c r="C61" s="411"/>
      <c r="D61" s="411"/>
      <c r="E61" s="61"/>
      <c r="G61" s="571" t="s">
        <v>683</v>
      </c>
      <c r="H61" s="569"/>
      <c r="I61" s="569"/>
      <c r="J61" s="572">
        <v>0</v>
      </c>
    </row>
    <row r="62" spans="2:10" ht="15.75">
      <c r="B62" s="250" t="s">
        <v>297</v>
      </c>
      <c r="C62" s="411"/>
      <c r="D62" s="411"/>
      <c r="E62" s="280">
        <f>Nhood!E26*-1</f>
        <v>0</v>
      </c>
      <c r="G62" s="567" t="s">
        <v>684</v>
      </c>
      <c r="H62" s="568"/>
      <c r="I62" s="568"/>
      <c r="J62" s="573">
        <f>IF(J61=0,"",ROUND((J61+E84-G74)/inputOth!E5*1000,3)-G79)</f>
      </c>
    </row>
    <row r="63" spans="2:10" ht="15.75">
      <c r="B63" s="250" t="s">
        <v>298</v>
      </c>
      <c r="C63" s="411"/>
      <c r="D63" s="411"/>
      <c r="E63" s="66"/>
      <c r="G63" s="574" t="str">
        <f>CONCATENATE("",E1," Tot Exp/Non-Appr Must Be:")</f>
        <v>0 Tot Exp/Non-Appr Must Be:</v>
      </c>
      <c r="H63" s="575"/>
      <c r="I63" s="576"/>
      <c r="J63" s="577">
        <f>IF(J61&gt;0,IF(E81&lt;E66,IF(J61=G74,E81,((J61-G74)*(1-D83))+E66),E81+(J61-G74)),0)</f>
        <v>0</v>
      </c>
    </row>
    <row r="64" spans="2:10" ht="15.75">
      <c r="B64" s="250" t="s">
        <v>300</v>
      </c>
      <c r="C64" s="384">
        <f>IF(C65*0.1&lt;C63,"Exceed 10% Rule","")</f>
      </c>
      <c r="D64" s="384">
        <f>IF(D65*0.1&lt;D63,"Exceed 10% Rule","")</f>
      </c>
      <c r="E64" s="277">
        <f>IF(E65*0.1+E84&lt;E63,"Exceed 10% Rule","")</f>
      </c>
      <c r="G64" s="578" t="s">
        <v>814</v>
      </c>
      <c r="H64" s="579"/>
      <c r="I64" s="579"/>
      <c r="J64" s="580">
        <f>IF(J61&gt;0,J63-E81,0)</f>
        <v>0</v>
      </c>
    </row>
    <row r="65" spans="2:10" ht="15.75">
      <c r="B65" s="252" t="s">
        <v>58</v>
      </c>
      <c r="C65" s="388">
        <f>SUM(C50:C63)</f>
        <v>0</v>
      </c>
      <c r="D65" s="388">
        <f>SUM(D50:D63)</f>
        <v>0</v>
      </c>
      <c r="E65" s="296">
        <f>SUM(E50:E63)</f>
        <v>0</v>
      </c>
      <c r="G65" s="581"/>
      <c r="H65" s="581"/>
      <c r="I65" s="581"/>
      <c r="J65" s="581"/>
    </row>
    <row r="66" spans="2:10" ht="15.75">
      <c r="B66" s="252" t="s">
        <v>59</v>
      </c>
      <c r="C66" s="388">
        <f>C48+C65</f>
        <v>0</v>
      </c>
      <c r="D66" s="388">
        <f>D48+D65</f>
        <v>0</v>
      </c>
      <c r="E66" s="296">
        <f>E48+E65</f>
        <v>0</v>
      </c>
      <c r="G66" s="863" t="str">
        <f>CONCATENATE("Projected Carryover Into ",E1+1,"")</f>
        <v>Projected Carryover Into 1</v>
      </c>
      <c r="H66" s="869"/>
      <c r="I66" s="869"/>
      <c r="J66" s="868"/>
    </row>
    <row r="67" spans="2:10" ht="15.75">
      <c r="B67" s="118" t="s">
        <v>62</v>
      </c>
      <c r="C67" s="250"/>
      <c r="D67" s="250"/>
      <c r="E67" s="128"/>
      <c r="G67" s="601"/>
      <c r="H67" s="568"/>
      <c r="I67" s="568"/>
      <c r="J67" s="602"/>
    </row>
    <row r="68" spans="2:10" ht="15.75">
      <c r="B68" s="261"/>
      <c r="C68" s="411"/>
      <c r="D68" s="411"/>
      <c r="E68" s="66"/>
      <c r="G68" s="583">
        <f>D78</f>
        <v>0</v>
      </c>
      <c r="H68" s="584" t="str">
        <f>CONCATENATE("",E1-1," Ending Cash Balance (est.)")</f>
        <v>-1 Ending Cash Balance (est.)</v>
      </c>
      <c r="I68" s="585"/>
      <c r="J68" s="602"/>
    </row>
    <row r="69" spans="2:10" ht="15.75">
      <c r="B69" s="261"/>
      <c r="C69" s="411"/>
      <c r="D69" s="411"/>
      <c r="E69" s="66"/>
      <c r="G69" s="583">
        <f>E65</f>
        <v>0</v>
      </c>
      <c r="H69" s="569" t="str">
        <f>CONCATENATE("",E1," Non-AV Receipts (est.)")</f>
        <v>0 Non-AV Receipts (est.)</v>
      </c>
      <c r="I69" s="585"/>
      <c r="J69" s="602"/>
    </row>
    <row r="70" spans="2:11" ht="15.75">
      <c r="B70" s="261"/>
      <c r="C70" s="411"/>
      <c r="D70" s="411"/>
      <c r="E70" s="66"/>
      <c r="G70" s="586">
        <f>IF(E83&gt;0,E82,E84)</f>
        <v>0</v>
      </c>
      <c r="H70" s="569" t="str">
        <f>CONCATENATE("",E1," Ad Valorem Tax (est.)")</f>
        <v>0 Ad Valorem Tax (est.)</v>
      </c>
      <c r="I70" s="585"/>
      <c r="J70" s="602"/>
      <c r="K70" s="622">
        <f>IF(G70=E84,"","Note: Does not include Delinquent Taxes")</f>
      </c>
    </row>
    <row r="71" spans="2:10" ht="15.75">
      <c r="B71" s="261"/>
      <c r="C71" s="411"/>
      <c r="D71" s="411"/>
      <c r="E71" s="66"/>
      <c r="G71" s="603">
        <f>SUM(G68:G70)</f>
        <v>0</v>
      </c>
      <c r="H71" s="569" t="str">
        <f>CONCATENATE("Total ",E1," Resources Available")</f>
        <v>Total 0 Resources Available</v>
      </c>
      <c r="I71" s="604"/>
      <c r="J71" s="602"/>
    </row>
    <row r="72" spans="2:10" ht="15.75">
      <c r="B72" s="261"/>
      <c r="C72" s="411"/>
      <c r="D72" s="411"/>
      <c r="E72" s="66"/>
      <c r="G72" s="605"/>
      <c r="H72" s="606"/>
      <c r="I72" s="568"/>
      <c r="J72" s="602"/>
    </row>
    <row r="73" spans="2:10" ht="15.75">
      <c r="B73" s="261"/>
      <c r="C73" s="411"/>
      <c r="D73" s="411"/>
      <c r="E73" s="66"/>
      <c r="G73" s="607">
        <f>ROUND(C77*0.05+C77,0)</f>
        <v>0</v>
      </c>
      <c r="H73" s="569" t="str">
        <f>CONCATENATE("Less ",E1-2," Expenditures + 5%")</f>
        <v>Less -2 Expenditures + 5%</v>
      </c>
      <c r="I73" s="604"/>
      <c r="J73" s="602"/>
    </row>
    <row r="74" spans="2:10" ht="15.75">
      <c r="B74" s="250" t="str">
        <f>CONCATENATE("Cash Forward (",E1," column)")</f>
        <v>Cash Forward (0 column)</v>
      </c>
      <c r="C74" s="411"/>
      <c r="D74" s="411"/>
      <c r="E74" s="66"/>
      <c r="G74" s="608">
        <f>G71-G73</f>
        <v>0</v>
      </c>
      <c r="H74" s="589" t="str">
        <f>CONCATENATE("Projected ",E1+1," carryover (est.)")</f>
        <v>Projected 1 carryover (est.)</v>
      </c>
      <c r="I74" s="609"/>
      <c r="J74" s="610"/>
    </row>
    <row r="75" spans="2:10" ht="15.75">
      <c r="B75" s="250" t="s">
        <v>298</v>
      </c>
      <c r="C75" s="411"/>
      <c r="D75" s="411"/>
      <c r="E75" s="66"/>
      <c r="G75" s="581"/>
      <c r="H75" s="581"/>
      <c r="I75" s="581"/>
      <c r="J75" s="581"/>
    </row>
    <row r="76" spans="2:10" ht="15.75">
      <c r="B76" s="250" t="s">
        <v>299</v>
      </c>
      <c r="C76" s="384">
        <f>IF(C77*0.1&lt;C75,"Exceed 10% Rule","")</f>
      </c>
      <c r="D76" s="384">
        <f>IF(D77*0.1&lt;D75,"Exceed 10% Rule","")</f>
      </c>
      <c r="E76" s="277">
        <f>IF(E77*0.1&lt;E75,"Exceed 10% Rule","")</f>
      </c>
      <c r="G76" s="860" t="s">
        <v>815</v>
      </c>
      <c r="H76" s="861"/>
      <c r="I76" s="861"/>
      <c r="J76" s="862"/>
    </row>
    <row r="77" spans="2:10" ht="15.75">
      <c r="B77" s="252" t="s">
        <v>63</v>
      </c>
      <c r="C77" s="388">
        <f>SUM(C68:C75)</f>
        <v>0</v>
      </c>
      <c r="D77" s="388">
        <f>SUM(D68:D75)</f>
        <v>0</v>
      </c>
      <c r="E77" s="296">
        <f>SUM(E68:E75)</f>
        <v>0</v>
      </c>
      <c r="G77" s="592"/>
      <c r="H77" s="584"/>
      <c r="I77" s="593"/>
      <c r="J77" s="594"/>
    </row>
    <row r="78" spans="2:10" ht="15.75">
      <c r="B78" s="118" t="s">
        <v>195</v>
      </c>
      <c r="C78" s="383">
        <f>C66-C77</f>
        <v>0</v>
      </c>
      <c r="D78" s="383">
        <f>D66-D77</f>
        <v>0</v>
      </c>
      <c r="E78" s="270" t="s">
        <v>35</v>
      </c>
      <c r="G78" s="595" t="str">
        <f>summ!H36</f>
        <v>  </v>
      </c>
      <c r="H78" s="584" t="str">
        <f>CONCATENATE("",E1," Fund Mill Rate")</f>
        <v>0 Fund Mill Rate</v>
      </c>
      <c r="I78" s="593"/>
      <c r="J78" s="594"/>
    </row>
    <row r="79" spans="2:10" ht="15.75">
      <c r="B79" s="146" t="str">
        <f>CONCATENATE("",E1-2,"/",E1-1,"/",E1," Budget Authority Amount:")</f>
        <v>-2/-1/0 Budget Authority Amount:</v>
      </c>
      <c r="C79" s="272">
        <f>inputOth!B51</f>
        <v>0</v>
      </c>
      <c r="D79" s="272">
        <f>inputPrYr!D37</f>
        <v>0</v>
      </c>
      <c r="E79" s="209">
        <f>E77</f>
        <v>0</v>
      </c>
      <c r="F79" s="263"/>
      <c r="G79" s="596" t="str">
        <f>summ!E36</f>
        <v>  </v>
      </c>
      <c r="H79" s="584" t="str">
        <f>CONCATENATE("",E1-1," Fund Mill Rate")</f>
        <v>-1 Fund Mill Rate</v>
      </c>
      <c r="I79" s="593"/>
      <c r="J79" s="594"/>
    </row>
    <row r="80" spans="2:10" ht="15.75">
      <c r="B80" s="231"/>
      <c r="C80" s="856" t="s">
        <v>675</v>
      </c>
      <c r="D80" s="857"/>
      <c r="E80" s="66"/>
      <c r="F80" s="423">
        <f>IF(E77/0.95-E77&lt;E80,"Exceeds 5%","")</f>
      </c>
      <c r="G80" s="597">
        <f>summ!H52</f>
        <v>0</v>
      </c>
      <c r="H80" s="584" t="str">
        <f>CONCATENATE("Total ",E1," Mill Rate")</f>
        <v>Total 0 Mill Rate</v>
      </c>
      <c r="I80" s="593"/>
      <c r="J80" s="594"/>
    </row>
    <row r="81" spans="2:10" ht="15.75">
      <c r="B81" s="417" t="str">
        <f>CONCATENATE(C94,"      ",D94)</f>
        <v>      </v>
      </c>
      <c r="C81" s="858" t="s">
        <v>676</v>
      </c>
      <c r="D81" s="859"/>
      <c r="E81" s="209">
        <f>E77+E80</f>
        <v>0</v>
      </c>
      <c r="G81" s="596">
        <f>summ!E52</f>
        <v>0</v>
      </c>
      <c r="H81" s="598" t="str">
        <f>CONCATENATE("Total ",E1-1," Mill Rate")</f>
        <v>Total -1 Mill Rate</v>
      </c>
      <c r="I81" s="599"/>
      <c r="J81" s="600"/>
    </row>
    <row r="82" spans="2:5" ht="15.75">
      <c r="B82" s="417" t="str">
        <f>CONCATENATE(C95,"      ",D95)</f>
        <v>      </v>
      </c>
      <c r="C82" s="264"/>
      <c r="D82" s="79" t="s">
        <v>64</v>
      </c>
      <c r="E82" s="70">
        <f>IF(E81-E66&gt;0,E81-E66,0)</f>
        <v>0</v>
      </c>
    </row>
    <row r="83" spans="2:10" ht="15.75">
      <c r="B83" s="79"/>
      <c r="C83" s="402" t="s">
        <v>677</v>
      </c>
      <c r="D83" s="624">
        <f>inputOth!$E$24</f>
        <v>0</v>
      </c>
      <c r="E83" s="209">
        <f>ROUND(IF(D83&gt;0,(E82*D83),0),0)</f>
        <v>0</v>
      </c>
      <c r="G83" s="741" t="s">
        <v>964</v>
      </c>
      <c r="H83" s="742"/>
      <c r="I83" s="744"/>
      <c r="J83" s="743" t="str">
        <f>cert!F62</f>
        <v>No</v>
      </c>
    </row>
    <row r="84" spans="2:10" ht="15.75">
      <c r="B84" s="45"/>
      <c r="C84" s="854" t="str">
        <f>CONCATENATE("Amount of  ",$E$1-1," Ad Valorem Tax")</f>
        <v>Amount of  -1 Ad Valorem Tax</v>
      </c>
      <c r="D84" s="855"/>
      <c r="E84" s="282">
        <f>E82+E83</f>
        <v>0</v>
      </c>
      <c r="G84" s="745" t="str">
        <f>CONCATENATE("Computed ",E1," tax levy limit amount")</f>
        <v>Computed 0 tax levy limit amount</v>
      </c>
      <c r="H84" s="746"/>
      <c r="I84" s="746"/>
      <c r="J84" s="747">
        <f>computation!J42</f>
        <v>0</v>
      </c>
    </row>
    <row r="85" spans="2:10" ht="15.75">
      <c r="B85" s="265" t="s">
        <v>115</v>
      </c>
      <c r="C85" s="709"/>
      <c r="D85" s="45"/>
      <c r="E85" s="45"/>
      <c r="G85" s="748" t="str">
        <f>CONCATENATE("Total ",E1," tax levy amount")</f>
        <v>Total 0 tax levy amount</v>
      </c>
      <c r="H85" s="749"/>
      <c r="I85" s="749"/>
      <c r="J85" s="750">
        <f>summ!G52</f>
        <v>0</v>
      </c>
    </row>
    <row r="92" spans="3:4" ht="15.75" hidden="1">
      <c r="C92" s="31">
        <f>IF(C35&gt;C37,"See Tab A","")</f>
      </c>
      <c r="D92" s="31">
        <f>IF(D35&gt;D37,"See Tab C","")</f>
      </c>
    </row>
    <row r="93" spans="3:4" ht="15.75" hidden="1">
      <c r="C93" s="31">
        <f>IF(C36&lt;0,"See Tab B","")</f>
      </c>
      <c r="D93" s="31">
        <f>IF(D36&lt;0,"See Tab D","")</f>
      </c>
    </row>
    <row r="94" spans="3:4" ht="15.75" hidden="1">
      <c r="C94" s="31">
        <f>IF(C77&gt;C79,"See Tab A","")</f>
      </c>
      <c r="D94" s="31">
        <f>IF(D77&gt;D79,"See Tab C","")</f>
      </c>
    </row>
    <row r="95" spans="3:4" ht="15.75" hidden="1">
      <c r="C95" s="31">
        <f>IF(C78&lt;0,"See Tab B","")</f>
      </c>
      <c r="D95" s="31">
        <f>IF(D78&lt;0,"See Tab D","")</f>
      </c>
    </row>
  </sheetData>
  <sheetProtection sheet="1"/>
  <mergeCells count="12">
    <mergeCell ref="G17:J17"/>
    <mergeCell ref="G24:J24"/>
    <mergeCell ref="G34:J34"/>
    <mergeCell ref="G59:J59"/>
    <mergeCell ref="G66:J66"/>
    <mergeCell ref="G76:J76"/>
    <mergeCell ref="C38:D38"/>
    <mergeCell ref="C39:D39"/>
    <mergeCell ref="C80:D80"/>
    <mergeCell ref="C81:D81"/>
    <mergeCell ref="C84:D84"/>
    <mergeCell ref="C42:D42"/>
  </mergeCells>
  <conditionalFormatting sqref="E38">
    <cfRule type="cellIs" priority="3" dxfId="351" operator="greaterThan" stopIfTrue="1">
      <formula>$E$35/0.95-$E$35</formula>
    </cfRule>
  </conditionalFormatting>
  <conditionalFormatting sqref="E80">
    <cfRule type="cellIs" priority="4" dxfId="351" operator="greaterThan" stopIfTrue="1">
      <formula>$E$77/0.95-$E$77</formula>
    </cfRule>
  </conditionalFormatting>
  <conditionalFormatting sqref="E75">
    <cfRule type="cellIs" priority="5" dxfId="351" operator="greaterThan" stopIfTrue="1">
      <formula>$E$77*0.1</formula>
    </cfRule>
  </conditionalFormatting>
  <conditionalFormatting sqref="C21">
    <cfRule type="cellIs" priority="6" dxfId="351" operator="greaterThan" stopIfTrue="1">
      <formula>$C$23*0.1</formula>
    </cfRule>
  </conditionalFormatting>
  <conditionalFormatting sqref="D21">
    <cfRule type="cellIs" priority="7" dxfId="351" operator="greaterThan" stopIfTrue="1">
      <formula>$D$23*0.1</formula>
    </cfRule>
  </conditionalFormatting>
  <conditionalFormatting sqref="E33">
    <cfRule type="cellIs" priority="8" dxfId="351" operator="greaterThan" stopIfTrue="1">
      <formula>$E$35*0.1</formula>
    </cfRule>
  </conditionalFormatting>
  <conditionalFormatting sqref="E21">
    <cfRule type="cellIs" priority="9" dxfId="351" operator="greaterThan" stopIfTrue="1">
      <formula>$E$23*0.1+E42</formula>
    </cfRule>
  </conditionalFormatting>
  <conditionalFormatting sqref="E63">
    <cfRule type="cellIs" priority="10" dxfId="351" operator="greaterThan" stopIfTrue="1">
      <formula>$E$65*0.1+E84</formula>
    </cfRule>
  </conditionalFormatting>
  <conditionalFormatting sqref="C75">
    <cfRule type="cellIs" priority="11" dxfId="2" operator="greaterThan" stopIfTrue="1">
      <formula>$C$77*0.1</formula>
    </cfRule>
  </conditionalFormatting>
  <conditionalFormatting sqref="D75">
    <cfRule type="cellIs" priority="12" dxfId="2" operator="greaterThan" stopIfTrue="1">
      <formula>$D$77*0.1</formula>
    </cfRule>
  </conditionalFormatting>
  <conditionalFormatting sqref="D63">
    <cfRule type="cellIs" priority="13" dxfId="2" operator="greaterThan" stopIfTrue="1">
      <formula>$D$65*0.1</formula>
    </cfRule>
  </conditionalFormatting>
  <conditionalFormatting sqref="C63">
    <cfRule type="cellIs" priority="14" dxfId="2" operator="greaterThan" stopIfTrue="1">
      <formula>$C$65*0.1</formula>
    </cfRule>
  </conditionalFormatting>
  <conditionalFormatting sqref="C33">
    <cfRule type="cellIs" priority="15" dxfId="2" operator="greaterThan" stopIfTrue="1">
      <formula>$C$35*0.1</formula>
    </cfRule>
  </conditionalFormatting>
  <conditionalFormatting sqref="D33">
    <cfRule type="cellIs" priority="16" dxfId="2" operator="greaterThan" stopIfTrue="1">
      <formula>$D$35*0.1</formula>
    </cfRule>
  </conditionalFormatting>
  <conditionalFormatting sqref="C35">
    <cfRule type="cellIs" priority="17" dxfId="2" operator="greaterThan" stopIfTrue="1">
      <formula>$C$37</formula>
    </cfRule>
  </conditionalFormatting>
  <conditionalFormatting sqref="D35">
    <cfRule type="cellIs" priority="18" dxfId="2" operator="greaterThan" stopIfTrue="1">
      <formula>$D$37</formula>
    </cfRule>
  </conditionalFormatting>
  <conditionalFormatting sqref="C78 C36">
    <cfRule type="cellIs" priority="19" dxfId="2" operator="lessThan" stopIfTrue="1">
      <formula>0</formula>
    </cfRule>
  </conditionalFormatting>
  <conditionalFormatting sqref="C77">
    <cfRule type="cellIs" priority="20" dxfId="2" operator="greaterThan" stopIfTrue="1">
      <formula>$C$79</formula>
    </cfRule>
  </conditionalFormatting>
  <conditionalFormatting sqref="D77">
    <cfRule type="cellIs" priority="21" dxfId="2" operator="greaterThan" stopIfTrue="1">
      <formula>$D$79</formula>
    </cfRule>
  </conditionalFormatting>
  <conditionalFormatting sqref="D78 D36">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7" r:id="rId1"/>
  <headerFooter alignWithMargins="0">
    <oddHeader>&amp;RState of Kansas
County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Q156" sqref="Q156"/>
    </sheetView>
  </sheetViews>
  <sheetFormatPr defaultColWidth="8.796875" defaultRowHeight="15"/>
  <cols>
    <col min="1" max="1" width="2.3984375" style="31" customWidth="1"/>
    <col min="2" max="2" width="31.09765625" style="31" customWidth="1"/>
    <col min="3" max="4" width="15.796875" style="31" customWidth="1"/>
    <col min="5" max="5" width="16.19921875" style="31" customWidth="1"/>
    <col min="6" max="6" width="8.8984375" style="31" customWidth="1"/>
    <col min="7" max="7" width="10.19921875" style="31" customWidth="1"/>
    <col min="8" max="8" width="8.8984375" style="31" customWidth="1"/>
    <col min="9" max="9" width="5.796875" style="31" customWidth="1"/>
    <col min="10" max="10" width="10" style="31" customWidth="1"/>
    <col min="11" max="16384" width="8.8984375" style="31" customWidth="1"/>
  </cols>
  <sheetData>
    <row r="1" spans="2:5" ht="15.75">
      <c r="B1" s="160">
        <f>inputPrYr!C3</f>
        <v>0</v>
      </c>
      <c r="C1" s="45"/>
      <c r="D1" s="45"/>
      <c r="E1" s="230">
        <f>inputPrYr!C5</f>
        <v>0</v>
      </c>
    </row>
    <row r="2" spans="2:5" ht="15.75">
      <c r="B2" s="169"/>
      <c r="C2" s="266"/>
      <c r="D2" s="266"/>
      <c r="E2" s="267"/>
    </row>
    <row r="3" spans="2:5" ht="15.75">
      <c r="B3" s="414" t="s">
        <v>162</v>
      </c>
      <c r="C3" s="110"/>
      <c r="D3" s="110"/>
      <c r="E3" s="110"/>
    </row>
    <row r="4" spans="2:5" ht="15.75">
      <c r="B4" s="44" t="s">
        <v>49</v>
      </c>
      <c r="C4" s="563" t="s">
        <v>811</v>
      </c>
      <c r="D4" s="564" t="s">
        <v>812</v>
      </c>
      <c r="E4" s="114" t="s">
        <v>813</v>
      </c>
    </row>
    <row r="5" spans="2:5" ht="15.75">
      <c r="B5" s="160">
        <f>inputPrYr!B38</f>
        <v>0</v>
      </c>
      <c r="C5" s="386" t="str">
        <f>CONCATENATE("Actual for ",E1-2,"")</f>
        <v>Actual for -2</v>
      </c>
      <c r="D5" s="386" t="str">
        <f>CONCATENATE("Estimate for ",E1-1,"")</f>
        <v>Estimate for -1</v>
      </c>
      <c r="E5" s="244" t="str">
        <f>CONCATENATE("Year for ",E1,"")</f>
        <v>Year for 0</v>
      </c>
    </row>
    <row r="6" spans="2:5" ht="15.75">
      <c r="B6" s="118" t="s">
        <v>194</v>
      </c>
      <c r="C6" s="411"/>
      <c r="D6" s="385">
        <f>C36</f>
        <v>0</v>
      </c>
      <c r="E6" s="209">
        <f>D36</f>
        <v>0</v>
      </c>
    </row>
    <row r="7" spans="2:5" ht="15.75">
      <c r="B7" s="234" t="s">
        <v>196</v>
      </c>
      <c r="C7" s="132"/>
      <c r="D7" s="132"/>
      <c r="E7" s="81"/>
    </row>
    <row r="8" spans="2:5" ht="15.75">
      <c r="B8" s="118" t="s">
        <v>50</v>
      </c>
      <c r="C8" s="411"/>
      <c r="D8" s="385">
        <f>inputPrYr!E38</f>
        <v>0</v>
      </c>
      <c r="E8" s="270" t="s">
        <v>35</v>
      </c>
    </row>
    <row r="9" spans="2:5" ht="15.75">
      <c r="B9" s="118" t="s">
        <v>51</v>
      </c>
      <c r="C9" s="411"/>
      <c r="D9" s="411"/>
      <c r="E9" s="66"/>
    </row>
    <row r="10" spans="2:5" ht="15.75">
      <c r="B10" s="118" t="s">
        <v>52</v>
      </c>
      <c r="C10" s="411"/>
      <c r="D10" s="411"/>
      <c r="E10" s="209" t="str">
        <f>mvalloc!E31</f>
        <v>  </v>
      </c>
    </row>
    <row r="11" spans="2:5" ht="15.75">
      <c r="B11" s="118" t="s">
        <v>53</v>
      </c>
      <c r="C11" s="411"/>
      <c r="D11" s="411"/>
      <c r="E11" s="209" t="str">
        <f>mvalloc!F31</f>
        <v>  </v>
      </c>
    </row>
    <row r="12" spans="2:5" ht="15.75">
      <c r="B12" s="132" t="s">
        <v>154</v>
      </c>
      <c r="C12" s="411"/>
      <c r="D12" s="411"/>
      <c r="E12" s="209" t="str">
        <f>mvalloc!G31</f>
        <v>  </v>
      </c>
    </row>
    <row r="13" spans="2:5" ht="15.75">
      <c r="B13" s="273" t="s">
        <v>955</v>
      </c>
      <c r="C13" s="411"/>
      <c r="D13" s="411"/>
      <c r="E13" s="209" t="str">
        <f>mvalloc!H31</f>
        <v> </v>
      </c>
    </row>
    <row r="14" spans="2:5" ht="15.75">
      <c r="B14" s="273" t="s">
        <v>956</v>
      </c>
      <c r="C14" s="411"/>
      <c r="D14" s="411"/>
      <c r="E14" s="209" t="str">
        <f>mvalloc!I31</f>
        <v> </v>
      </c>
    </row>
    <row r="15" spans="2:5" ht="15.75">
      <c r="B15" s="261"/>
      <c r="C15" s="411"/>
      <c r="D15" s="411"/>
      <c r="E15" s="66"/>
    </row>
    <row r="16" spans="2:5" ht="15.75">
      <c r="B16" s="261"/>
      <c r="C16" s="411"/>
      <c r="D16" s="411"/>
      <c r="E16" s="66"/>
    </row>
    <row r="17" spans="2:10" ht="15.75">
      <c r="B17" s="261"/>
      <c r="C17" s="411"/>
      <c r="D17" s="411"/>
      <c r="E17" s="66"/>
      <c r="G17" s="863" t="str">
        <f>CONCATENATE("Desired Carryover Into ",E1+1,"")</f>
        <v>Desired Carryover Into 1</v>
      </c>
      <c r="H17" s="864"/>
      <c r="I17" s="864"/>
      <c r="J17" s="833"/>
    </row>
    <row r="18" spans="2:10" ht="15.75">
      <c r="B18" s="261"/>
      <c r="C18" s="411"/>
      <c r="D18" s="411"/>
      <c r="E18" s="66"/>
      <c r="G18" s="567"/>
      <c r="H18" s="568"/>
      <c r="I18" s="569"/>
      <c r="J18" s="570"/>
    </row>
    <row r="19" spans="2:10" ht="15.75">
      <c r="B19" s="249" t="s">
        <v>57</v>
      </c>
      <c r="C19" s="411"/>
      <c r="D19" s="411"/>
      <c r="E19" s="66"/>
      <c r="G19" s="571" t="s">
        <v>683</v>
      </c>
      <c r="H19" s="569"/>
      <c r="I19" s="569"/>
      <c r="J19" s="572">
        <v>0</v>
      </c>
    </row>
    <row r="20" spans="2:10" ht="15.75">
      <c r="B20" s="250" t="s">
        <v>297</v>
      </c>
      <c r="C20" s="411"/>
      <c r="D20" s="411"/>
      <c r="E20" s="280">
        <f>Nhood!E27*-1</f>
        <v>0</v>
      </c>
      <c r="G20" s="567" t="s">
        <v>684</v>
      </c>
      <c r="H20" s="568"/>
      <c r="I20" s="568"/>
      <c r="J20" s="573">
        <f>IF(J19=0,"",ROUND((J19+E42-G32)/inputOth!E5*1000,3)-G37)</f>
      </c>
    </row>
    <row r="21" spans="2:10" ht="15.75">
      <c r="B21" s="250" t="s">
        <v>298</v>
      </c>
      <c r="C21" s="411"/>
      <c r="D21" s="411"/>
      <c r="E21" s="66"/>
      <c r="G21" s="574" t="str">
        <f>CONCATENATE("",E1," Tot Exp/Non-Appr Must Be:")</f>
        <v>0 Tot Exp/Non-Appr Must Be:</v>
      </c>
      <c r="H21" s="575"/>
      <c r="I21" s="576"/>
      <c r="J21" s="577">
        <f>IF(J19&gt;0,IF(E39&lt;E24,IF(J19=G32,E39,((J19-G32)*(1-D41))+E24),E39+(J19-G32)),0)</f>
        <v>0</v>
      </c>
    </row>
    <row r="22" spans="2:10" ht="15.75">
      <c r="B22" s="250" t="s">
        <v>300</v>
      </c>
      <c r="C22" s="384">
        <f>IF(C23*0.1&lt;C21,"Exceed 10% Rule","")</f>
      </c>
      <c r="D22" s="384">
        <f>IF(D23*0.1&lt;D21,"Exceed 10% Rule","")</f>
      </c>
      <c r="E22" s="277">
        <f>IF(E23*0.1+E42&lt;E21,"Exceed 10% Rule","")</f>
      </c>
      <c r="G22" s="578" t="s">
        <v>814</v>
      </c>
      <c r="H22" s="579"/>
      <c r="I22" s="579"/>
      <c r="J22" s="580">
        <f>IF(J19&gt;0,J21-E39,0)</f>
        <v>0</v>
      </c>
    </row>
    <row r="23" spans="2:10" ht="15.75">
      <c r="B23" s="252" t="s">
        <v>58</v>
      </c>
      <c r="C23" s="388">
        <f>SUM(C8:C21)</f>
        <v>0</v>
      </c>
      <c r="D23" s="388">
        <f>SUM(D8:D21)</f>
        <v>0</v>
      </c>
      <c r="E23" s="296">
        <f>SUM(E8:E21)</f>
        <v>0</v>
      </c>
      <c r="G23" s="581"/>
      <c r="H23" s="581"/>
      <c r="I23" s="581"/>
      <c r="J23" s="581"/>
    </row>
    <row r="24" spans="2:10" ht="15.75">
      <c r="B24" s="252" t="s">
        <v>59</v>
      </c>
      <c r="C24" s="388">
        <f>C6+C23</f>
        <v>0</v>
      </c>
      <c r="D24" s="388">
        <f>D6+D23</f>
        <v>0</v>
      </c>
      <c r="E24" s="296">
        <f>E6+E23</f>
        <v>0</v>
      </c>
      <c r="G24" s="863" t="str">
        <f>CONCATENATE("Projected Carryover Into ",E1+1,"")</f>
        <v>Projected Carryover Into 1</v>
      </c>
      <c r="H24" s="867"/>
      <c r="I24" s="867"/>
      <c r="J24" s="868"/>
    </row>
    <row r="25" spans="2:10" ht="15.75">
      <c r="B25" s="118" t="s">
        <v>62</v>
      </c>
      <c r="C25" s="250"/>
      <c r="D25" s="250"/>
      <c r="E25" s="128"/>
      <c r="G25" s="567"/>
      <c r="H25" s="569"/>
      <c r="I25" s="569"/>
      <c r="J25" s="582"/>
    </row>
    <row r="26" spans="2:10" ht="15.75">
      <c r="B26" s="261"/>
      <c r="C26" s="411"/>
      <c r="D26" s="411"/>
      <c r="E26" s="66"/>
      <c r="G26" s="583">
        <f>D36</f>
        <v>0</v>
      </c>
      <c r="H26" s="584" t="str">
        <f>CONCATENATE("",E1-1," Ending Cash Balance (est.)")</f>
        <v>-1 Ending Cash Balance (est.)</v>
      </c>
      <c r="I26" s="585"/>
      <c r="J26" s="582"/>
    </row>
    <row r="27" spans="2:10" ht="15.75">
      <c r="B27" s="261"/>
      <c r="C27" s="411"/>
      <c r="D27" s="411"/>
      <c r="E27" s="66"/>
      <c r="G27" s="583">
        <f>E23</f>
        <v>0</v>
      </c>
      <c r="H27" s="569" t="str">
        <f>CONCATENATE("",E1," Non-AV Receipts (est.)")</f>
        <v>0 Non-AV Receipts (est.)</v>
      </c>
      <c r="I27" s="585"/>
      <c r="J27" s="582"/>
    </row>
    <row r="28" spans="2:11" ht="15.75">
      <c r="B28" s="261"/>
      <c r="C28" s="411"/>
      <c r="D28" s="411"/>
      <c r="E28" s="66"/>
      <c r="G28" s="586">
        <f>IF(E41&gt;0,E40,E42)</f>
        <v>0</v>
      </c>
      <c r="H28" s="569" t="str">
        <f>CONCATENATE("",E1," Ad Valorem Tax (est.)")</f>
        <v>0 Ad Valorem Tax (est.)</v>
      </c>
      <c r="I28" s="585"/>
      <c r="J28" s="582"/>
      <c r="K28" s="622">
        <f>IF(G28=E42,"","Note: Does not include Delinquent Taxes")</f>
      </c>
    </row>
    <row r="29" spans="2:10" ht="15.75">
      <c r="B29" s="261"/>
      <c r="C29" s="411"/>
      <c r="D29" s="411"/>
      <c r="E29" s="66"/>
      <c r="G29" s="583">
        <f>SUM(G26:G28)</f>
        <v>0</v>
      </c>
      <c r="H29" s="569" t="str">
        <f>CONCATENATE("Total ",E1," Resources Available")</f>
        <v>Total 0 Resources Available</v>
      </c>
      <c r="I29" s="585"/>
      <c r="J29" s="582"/>
    </row>
    <row r="30" spans="2:10" ht="15.75">
      <c r="B30" s="261"/>
      <c r="C30" s="411"/>
      <c r="D30" s="411"/>
      <c r="E30" s="66"/>
      <c r="G30" s="587"/>
      <c r="H30" s="569"/>
      <c r="I30" s="569"/>
      <c r="J30" s="582"/>
    </row>
    <row r="31" spans="2:10" ht="15.75">
      <c r="B31" s="261"/>
      <c r="C31" s="411"/>
      <c r="D31" s="411"/>
      <c r="E31" s="66"/>
      <c r="G31" s="586">
        <f>ROUND(C35*0.05+C35,0)</f>
        <v>0</v>
      </c>
      <c r="H31" s="569" t="str">
        <f>CONCATENATE("Less ",E1-2," Expenditures + 5%")</f>
        <v>Less -2 Expenditures + 5%</v>
      </c>
      <c r="I31" s="585"/>
      <c r="J31" s="602"/>
    </row>
    <row r="32" spans="2:10" ht="15.75">
      <c r="B32" s="250" t="str">
        <f>CONCATENATE("Cash Forward (",E1," column)")</f>
        <v>Cash Forward (0 column)</v>
      </c>
      <c r="C32" s="411"/>
      <c r="D32" s="411"/>
      <c r="E32" s="66"/>
      <c r="G32" s="588">
        <f>G29-G31</f>
        <v>0</v>
      </c>
      <c r="H32" s="589" t="str">
        <f>CONCATENATE("Projected ",E1+1," carryover (est.)")</f>
        <v>Projected 1 carryover (est.)</v>
      </c>
      <c r="I32" s="590"/>
      <c r="J32" s="591"/>
    </row>
    <row r="33" spans="2:10" ht="15.75">
      <c r="B33" s="250" t="s">
        <v>298</v>
      </c>
      <c r="C33" s="411"/>
      <c r="D33" s="411"/>
      <c r="E33" s="66"/>
      <c r="G33" s="581"/>
      <c r="H33" s="581"/>
      <c r="I33" s="581"/>
      <c r="J33" s="581"/>
    </row>
    <row r="34" spans="2:10" ht="15.75">
      <c r="B34" s="250" t="s">
        <v>299</v>
      </c>
      <c r="C34" s="384">
        <f>IF(C35*0.1&lt;C33,"Exceed 10% Rule","")</f>
      </c>
      <c r="D34" s="384">
        <f>IF(D35*0.1&lt;D33,"Exceed 10% Rule","")</f>
      </c>
      <c r="E34" s="277">
        <f>IF(E35*0.1&lt;E33,"Exceed 10% Rule","")</f>
      </c>
      <c r="G34" s="860" t="s">
        <v>815</v>
      </c>
      <c r="H34" s="861"/>
      <c r="I34" s="861"/>
      <c r="J34" s="862"/>
    </row>
    <row r="35" spans="2:10" ht="15.75">
      <c r="B35" s="252" t="s">
        <v>63</v>
      </c>
      <c r="C35" s="388">
        <f>SUM(C26:C33)</f>
        <v>0</v>
      </c>
      <c r="D35" s="388">
        <f>SUM(D26:D33)</f>
        <v>0</v>
      </c>
      <c r="E35" s="296">
        <f>SUM(E26:E33)</f>
        <v>0</v>
      </c>
      <c r="G35" s="592"/>
      <c r="H35" s="584"/>
      <c r="I35" s="593"/>
      <c r="J35" s="594"/>
    </row>
    <row r="36" spans="2:10" ht="15.75">
      <c r="B36" s="118" t="s">
        <v>195</v>
      </c>
      <c r="C36" s="383">
        <f>C24-C35</f>
        <v>0</v>
      </c>
      <c r="D36" s="383">
        <f>D24-D35</f>
        <v>0</v>
      </c>
      <c r="E36" s="270" t="s">
        <v>35</v>
      </c>
      <c r="G36" s="595" t="str">
        <f>summ!H37</f>
        <v>  </v>
      </c>
      <c r="H36" s="584" t="str">
        <f>CONCATENATE("",E1," Fund Mill Rate")</f>
        <v>0 Fund Mill Rate</v>
      </c>
      <c r="I36" s="593"/>
      <c r="J36" s="594"/>
    </row>
    <row r="37" spans="2:10" ht="15.75">
      <c r="B37" s="146" t="str">
        <f>CONCATENATE("",E1-2,"/",E1-1,"/",E1," Budget Authority Amount:")</f>
        <v>-2/-1/0 Budget Authority Amount:</v>
      </c>
      <c r="C37" s="272">
        <f>inputOth!B52</f>
        <v>0</v>
      </c>
      <c r="D37" s="272">
        <f>inputPrYr!D38</f>
        <v>0</v>
      </c>
      <c r="E37" s="209">
        <f>E35</f>
        <v>0</v>
      </c>
      <c r="F37" s="263"/>
      <c r="G37" s="596" t="str">
        <f>summ!E37</f>
        <v>  </v>
      </c>
      <c r="H37" s="584" t="str">
        <f>CONCATENATE("",E1-1," Fund Mill Rate")</f>
        <v>-1 Fund Mill Rate</v>
      </c>
      <c r="I37" s="593"/>
      <c r="J37" s="594"/>
    </row>
    <row r="38" spans="2:10" ht="15.75">
      <c r="B38" s="231"/>
      <c r="C38" s="856" t="s">
        <v>675</v>
      </c>
      <c r="D38" s="857"/>
      <c r="E38" s="66"/>
      <c r="F38" s="423">
        <f>IF(E35/0.95-E35&lt;E38,"Exceeds 5%","")</f>
      </c>
      <c r="G38" s="597">
        <f>summ!H52</f>
        <v>0</v>
      </c>
      <c r="H38" s="584" t="str">
        <f>CONCATENATE("Total ",E1," Mill Rate")</f>
        <v>Total 0 Mill Rate</v>
      </c>
      <c r="I38" s="593"/>
      <c r="J38" s="594"/>
    </row>
    <row r="39" spans="2:10" ht="15.75">
      <c r="B39" s="417" t="str">
        <f>CONCATENATE(C92,"     ",D92)</f>
        <v>     </v>
      </c>
      <c r="C39" s="858" t="s">
        <v>676</v>
      </c>
      <c r="D39" s="859"/>
      <c r="E39" s="209">
        <f>E35+E38</f>
        <v>0</v>
      </c>
      <c r="G39" s="596">
        <f>summ!E52</f>
        <v>0</v>
      </c>
      <c r="H39" s="598" t="str">
        <f>CONCATENATE("Total ",E1-1," Mill Rate")</f>
        <v>Total -1 Mill Rate</v>
      </c>
      <c r="I39" s="599"/>
      <c r="J39" s="600"/>
    </row>
    <row r="40" spans="2:10" ht="15.75">
      <c r="B40" s="417" t="str">
        <f>CONCATENATE(C93,"      ",D93)</f>
        <v>      </v>
      </c>
      <c r="C40" s="264"/>
      <c r="D40" s="79" t="s">
        <v>64</v>
      </c>
      <c r="E40" s="70">
        <f>IF(E39-E24&gt;0,E39-E24,0)</f>
        <v>0</v>
      </c>
      <c r="G40" s="581"/>
      <c r="H40" s="581"/>
      <c r="I40" s="581"/>
      <c r="J40" s="581"/>
    </row>
    <row r="41" spans="2:10" ht="15.75">
      <c r="B41" s="79"/>
      <c r="C41" s="402" t="s">
        <v>677</v>
      </c>
      <c r="D41" s="624">
        <f>inputOth!$E$24</f>
        <v>0</v>
      </c>
      <c r="E41" s="209">
        <f>ROUND(IF(D41&gt;0,(E40*D41),0),0)</f>
        <v>0</v>
      </c>
      <c r="G41" s="741" t="s">
        <v>964</v>
      </c>
      <c r="H41" s="742"/>
      <c r="I41" s="744"/>
      <c r="J41" s="743" t="str">
        <f>cert!F62</f>
        <v>No</v>
      </c>
    </row>
    <row r="42" spans="2:10" ht="15.75">
      <c r="B42" s="45"/>
      <c r="C42" s="854" t="str">
        <f>CONCATENATE("Amount of  ",$E$1-1," Ad Valorem Tax")</f>
        <v>Amount of  -1 Ad Valorem Tax</v>
      </c>
      <c r="D42" s="855"/>
      <c r="E42" s="282">
        <f>E40+E41</f>
        <v>0</v>
      </c>
      <c r="G42" s="758" t="str">
        <f>CONCATENATE("Computed ",E1," tax levy limit amount")</f>
        <v>Computed 0 tax levy limit amount</v>
      </c>
      <c r="H42" s="759"/>
      <c r="I42" s="759"/>
      <c r="J42" s="760">
        <f>computation!J42</f>
        <v>0</v>
      </c>
    </row>
    <row r="43" spans="2:10" ht="15.75">
      <c r="B43" s="45"/>
      <c r="C43" s="547"/>
      <c r="D43" s="45"/>
      <c r="E43" s="45"/>
      <c r="G43" s="761" t="str">
        <f>CONCATENATE("Total ",E1," tax levy amount")</f>
        <v>Total 0 tax levy amount</v>
      </c>
      <c r="H43" s="762"/>
      <c r="I43" s="762"/>
      <c r="J43" s="763">
        <f>summ!G52</f>
        <v>0</v>
      </c>
    </row>
    <row r="44" spans="2:10" ht="15.75">
      <c r="B44" s="45"/>
      <c r="C44" s="547"/>
      <c r="D44" s="45"/>
      <c r="E44" s="45"/>
      <c r="G44" s="581"/>
      <c r="H44" s="581"/>
      <c r="I44" s="581"/>
      <c r="J44" s="581"/>
    </row>
    <row r="45" spans="2:10" ht="15.75">
      <c r="B45" s="45"/>
      <c r="C45" s="110"/>
      <c r="D45" s="110"/>
      <c r="E45" s="110"/>
      <c r="G45" s="581"/>
      <c r="H45" s="581"/>
      <c r="I45" s="581"/>
      <c r="J45" s="581"/>
    </row>
    <row r="46" spans="2:10" ht="15.75">
      <c r="B46" s="44" t="s">
        <v>49</v>
      </c>
      <c r="C46" s="563" t="str">
        <f aca="true" t="shared" si="0" ref="C46:E47">C4</f>
        <v>Prior Year </v>
      </c>
      <c r="D46" s="564" t="str">
        <f t="shared" si="0"/>
        <v>Current Year </v>
      </c>
      <c r="E46" s="114" t="str">
        <f t="shared" si="0"/>
        <v>Proposed Budget </v>
      </c>
      <c r="G46" s="581"/>
      <c r="H46" s="581"/>
      <c r="I46" s="581"/>
      <c r="J46" s="581"/>
    </row>
    <row r="47" spans="2:10" ht="15.75">
      <c r="B47" s="405">
        <f>inputPrYr!$B$39</f>
        <v>0</v>
      </c>
      <c r="C47" s="386" t="str">
        <f t="shared" si="0"/>
        <v>Actual for -2</v>
      </c>
      <c r="D47" s="386" t="str">
        <f t="shared" si="0"/>
        <v>Estimate for -1</v>
      </c>
      <c r="E47" s="256" t="str">
        <f t="shared" si="0"/>
        <v>Year for 0</v>
      </c>
      <c r="G47" s="581"/>
      <c r="H47" s="581"/>
      <c r="I47" s="581"/>
      <c r="J47" s="581"/>
    </row>
    <row r="48" spans="2:10" ht="15.75">
      <c r="B48" s="118" t="s">
        <v>194</v>
      </c>
      <c r="C48" s="411"/>
      <c r="D48" s="385">
        <f>C78</f>
        <v>0</v>
      </c>
      <c r="E48" s="209">
        <f>D78</f>
        <v>0</v>
      </c>
      <c r="G48" s="581"/>
      <c r="H48" s="581"/>
      <c r="I48" s="581"/>
      <c r="J48" s="581"/>
    </row>
    <row r="49" spans="2:10" ht="15.75">
      <c r="B49" s="245" t="s">
        <v>196</v>
      </c>
      <c r="C49" s="132"/>
      <c r="D49" s="132"/>
      <c r="E49" s="81"/>
      <c r="G49" s="581"/>
      <c r="H49" s="581"/>
      <c r="I49" s="581"/>
      <c r="J49" s="581"/>
    </row>
    <row r="50" spans="2:10" ht="15.75">
      <c r="B50" s="118" t="s">
        <v>50</v>
      </c>
      <c r="C50" s="411"/>
      <c r="D50" s="385">
        <f>inputPrYr!E39</f>
        <v>0</v>
      </c>
      <c r="E50" s="270" t="s">
        <v>35</v>
      </c>
      <c r="G50" s="581"/>
      <c r="H50" s="581"/>
      <c r="I50" s="581"/>
      <c r="J50" s="581"/>
    </row>
    <row r="51" spans="2:10" ht="15.75">
      <c r="B51" s="118" t="s">
        <v>51</v>
      </c>
      <c r="C51" s="411"/>
      <c r="D51" s="411"/>
      <c r="E51" s="66"/>
      <c r="G51" s="581"/>
      <c r="H51" s="581"/>
      <c r="I51" s="581"/>
      <c r="J51" s="581"/>
    </row>
    <row r="52" spans="2:10" ht="15.75">
      <c r="B52" s="118" t="s">
        <v>52</v>
      </c>
      <c r="C52" s="411"/>
      <c r="D52" s="411"/>
      <c r="E52" s="209" t="str">
        <f>mvalloc!E32</f>
        <v>  </v>
      </c>
      <c r="G52" s="581"/>
      <c r="H52" s="581"/>
      <c r="I52" s="581"/>
      <c r="J52" s="581"/>
    </row>
    <row r="53" spans="2:10" ht="15.75">
      <c r="B53" s="118" t="s">
        <v>53</v>
      </c>
      <c r="C53" s="411"/>
      <c r="D53" s="411"/>
      <c r="E53" s="209" t="str">
        <f>mvalloc!F32</f>
        <v>  </v>
      </c>
      <c r="G53" s="581"/>
      <c r="H53" s="581"/>
      <c r="I53" s="581"/>
      <c r="J53" s="581"/>
    </row>
    <row r="54" spans="2:10" ht="15.75">
      <c r="B54" s="132" t="s">
        <v>154</v>
      </c>
      <c r="C54" s="411"/>
      <c r="D54" s="411"/>
      <c r="E54" s="209" t="str">
        <f>mvalloc!G32</f>
        <v>  </v>
      </c>
      <c r="G54" s="581"/>
      <c r="H54" s="581"/>
      <c r="I54" s="581"/>
      <c r="J54" s="581"/>
    </row>
    <row r="55" spans="2:10" ht="15.75">
      <c r="B55" s="273" t="s">
        <v>955</v>
      </c>
      <c r="C55" s="411"/>
      <c r="D55" s="411"/>
      <c r="E55" s="209" t="str">
        <f>mvalloc!H32</f>
        <v> </v>
      </c>
      <c r="G55" s="581"/>
      <c r="H55" s="581"/>
      <c r="I55" s="581"/>
      <c r="J55" s="581"/>
    </row>
    <row r="56" spans="2:10" ht="15.75">
      <c r="B56" s="273" t="s">
        <v>956</v>
      </c>
      <c r="C56" s="411"/>
      <c r="D56" s="411"/>
      <c r="E56" s="209" t="str">
        <f>mvalloc!I32</f>
        <v> </v>
      </c>
      <c r="G56" s="581"/>
      <c r="H56" s="581"/>
      <c r="I56" s="581"/>
      <c r="J56" s="581"/>
    </row>
    <row r="57" spans="2:10" ht="15.75">
      <c r="B57" s="261"/>
      <c r="C57" s="411"/>
      <c r="D57" s="411"/>
      <c r="E57" s="66"/>
      <c r="G57" s="581"/>
      <c r="H57" s="581"/>
      <c r="I57" s="581"/>
      <c r="J57" s="581"/>
    </row>
    <row r="58" spans="2:10" ht="15.75">
      <c r="B58" s="261"/>
      <c r="C58" s="411"/>
      <c r="D58" s="411"/>
      <c r="E58" s="66"/>
      <c r="G58" s="581"/>
      <c r="H58" s="581"/>
      <c r="I58" s="581"/>
      <c r="J58" s="581"/>
    </row>
    <row r="59" spans="2:10" ht="15.75">
      <c r="B59" s="261"/>
      <c r="C59" s="411"/>
      <c r="D59" s="411"/>
      <c r="E59" s="66"/>
      <c r="G59" s="863" t="str">
        <f>CONCATENATE("Desired Carryover Into ",E1+1,"")</f>
        <v>Desired Carryover Into 1</v>
      </c>
      <c r="H59" s="864"/>
      <c r="I59" s="864"/>
      <c r="J59" s="833"/>
    </row>
    <row r="60" spans="2:10" ht="15.75">
      <c r="B60" s="261"/>
      <c r="C60" s="411"/>
      <c r="D60" s="411"/>
      <c r="E60" s="66"/>
      <c r="G60" s="567"/>
      <c r="H60" s="568"/>
      <c r="I60" s="569"/>
      <c r="J60" s="570"/>
    </row>
    <row r="61" spans="2:10" ht="15.75">
      <c r="B61" s="249" t="s">
        <v>57</v>
      </c>
      <c r="C61" s="411"/>
      <c r="D61" s="411"/>
      <c r="E61" s="66"/>
      <c r="G61" s="571" t="s">
        <v>683</v>
      </c>
      <c r="H61" s="569"/>
      <c r="I61" s="569"/>
      <c r="J61" s="572">
        <v>0</v>
      </c>
    </row>
    <row r="62" spans="2:10" ht="15.75">
      <c r="B62" s="250" t="s">
        <v>297</v>
      </c>
      <c r="C62" s="411"/>
      <c r="D62" s="411"/>
      <c r="E62" s="280">
        <f>Nhood!E28*-1</f>
        <v>0</v>
      </c>
      <c r="G62" s="567" t="s">
        <v>684</v>
      </c>
      <c r="H62" s="568"/>
      <c r="I62" s="568"/>
      <c r="J62" s="573">
        <f>IF(J61=0,"",ROUND((J61+E84-G74)/inputOth!E5*1000,3)-G79)</f>
      </c>
    </row>
    <row r="63" spans="2:10" ht="15.75">
      <c r="B63" s="250" t="s">
        <v>298</v>
      </c>
      <c r="C63" s="411"/>
      <c r="D63" s="411"/>
      <c r="E63" s="66"/>
      <c r="G63" s="574" t="str">
        <f>CONCATENATE("",E1," Tot Exp/Non-Appr Must Be:")</f>
        <v>0 Tot Exp/Non-Appr Must Be:</v>
      </c>
      <c r="H63" s="575"/>
      <c r="I63" s="576"/>
      <c r="J63" s="577">
        <f>IF(J61&gt;0,IF(E81&lt;E66,IF(J61=G74,E81,((J61-G74)*(1-D83))+E66),E81+(J61-G74)),0)</f>
        <v>0</v>
      </c>
    </row>
    <row r="64" spans="2:10" ht="15.75">
      <c r="B64" s="250" t="s">
        <v>300</v>
      </c>
      <c r="C64" s="384">
        <f>IF(C65*0.1&lt;C63,"Exceed 10% Rule","")</f>
      </c>
      <c r="D64" s="384">
        <f>IF(D65*0.1&lt;D63,"Exceed 10% Rule","")</f>
      </c>
      <c r="E64" s="277">
        <f>IF(E65*0.1+E84&lt;E63,"Exceed 10% Rule","")</f>
      </c>
      <c r="G64" s="578" t="s">
        <v>814</v>
      </c>
      <c r="H64" s="579"/>
      <c r="I64" s="579"/>
      <c r="J64" s="580">
        <f>IF(J61&gt;0,J63-E81,0)</f>
        <v>0</v>
      </c>
    </row>
    <row r="65" spans="2:10" ht="15.75">
      <c r="B65" s="252" t="s">
        <v>58</v>
      </c>
      <c r="C65" s="388">
        <f>SUM(C50:C63)</f>
        <v>0</v>
      </c>
      <c r="D65" s="388">
        <f>SUM(D50:D63)</f>
        <v>0</v>
      </c>
      <c r="E65" s="296">
        <f>SUM(E50:E63)</f>
        <v>0</v>
      </c>
      <c r="G65" s="581"/>
      <c r="H65" s="581"/>
      <c r="I65" s="581"/>
      <c r="J65" s="581"/>
    </row>
    <row r="66" spans="2:10" ht="15.75">
      <c r="B66" s="252" t="s">
        <v>59</v>
      </c>
      <c r="C66" s="388">
        <f>C48+C65</f>
        <v>0</v>
      </c>
      <c r="D66" s="388">
        <f>D48+D65</f>
        <v>0</v>
      </c>
      <c r="E66" s="296">
        <f>E48+E65</f>
        <v>0</v>
      </c>
      <c r="G66" s="863" t="str">
        <f>CONCATENATE("Projected Carryover Into ",E1+1,"")</f>
        <v>Projected Carryover Into 1</v>
      </c>
      <c r="H66" s="869"/>
      <c r="I66" s="869"/>
      <c r="J66" s="868"/>
    </row>
    <row r="67" spans="2:10" ht="15.75">
      <c r="B67" s="118" t="s">
        <v>62</v>
      </c>
      <c r="C67" s="250"/>
      <c r="D67" s="250"/>
      <c r="E67" s="128"/>
      <c r="G67" s="601"/>
      <c r="H67" s="568"/>
      <c r="I67" s="568"/>
      <c r="J67" s="602"/>
    </row>
    <row r="68" spans="2:10" ht="15.75">
      <c r="B68" s="261"/>
      <c r="C68" s="411"/>
      <c r="D68" s="411"/>
      <c r="E68" s="66"/>
      <c r="G68" s="583">
        <f>D78</f>
        <v>0</v>
      </c>
      <c r="H68" s="584" t="str">
        <f>CONCATENATE("",E1-1," Ending Cash Balance (est.)")</f>
        <v>-1 Ending Cash Balance (est.)</v>
      </c>
      <c r="I68" s="585"/>
      <c r="J68" s="602"/>
    </row>
    <row r="69" spans="2:10" ht="15.75">
      <c r="B69" s="261"/>
      <c r="C69" s="411"/>
      <c r="D69" s="411"/>
      <c r="E69" s="66"/>
      <c r="G69" s="583">
        <f>E65</f>
        <v>0</v>
      </c>
      <c r="H69" s="569" t="str">
        <f>CONCATENATE("",E1," Non-AV Receipts (est.)")</f>
        <v>0 Non-AV Receipts (est.)</v>
      </c>
      <c r="I69" s="585"/>
      <c r="J69" s="602"/>
    </row>
    <row r="70" spans="2:11" ht="15.75">
      <c r="B70" s="261"/>
      <c r="C70" s="411"/>
      <c r="D70" s="411"/>
      <c r="E70" s="66"/>
      <c r="G70" s="586">
        <f>IF(E83&gt;0,E82,E84)</f>
        <v>0</v>
      </c>
      <c r="H70" s="569" t="str">
        <f>CONCATENATE("",E1," Ad Valorem Tax (est.)")</f>
        <v>0 Ad Valorem Tax (est.)</v>
      </c>
      <c r="I70" s="585"/>
      <c r="J70" s="602"/>
      <c r="K70" s="622">
        <f>IF(G70=E84,"","Note: Does not include Delinquent Taxes")</f>
      </c>
    </row>
    <row r="71" spans="2:10" ht="15.75">
      <c r="B71" s="261"/>
      <c r="C71" s="411"/>
      <c r="D71" s="411"/>
      <c r="E71" s="66"/>
      <c r="G71" s="603">
        <f>SUM(G68:G70)</f>
        <v>0</v>
      </c>
      <c r="H71" s="569" t="str">
        <f>CONCATENATE("Total ",E1," Resources Available")</f>
        <v>Total 0 Resources Available</v>
      </c>
      <c r="I71" s="604"/>
      <c r="J71" s="602"/>
    </row>
    <row r="72" spans="2:10" ht="15.75">
      <c r="B72" s="261"/>
      <c r="C72" s="411"/>
      <c r="D72" s="411"/>
      <c r="E72" s="66"/>
      <c r="G72" s="605"/>
      <c r="H72" s="606"/>
      <c r="I72" s="568"/>
      <c r="J72" s="602"/>
    </row>
    <row r="73" spans="2:10" ht="15.75">
      <c r="B73" s="261"/>
      <c r="C73" s="411"/>
      <c r="D73" s="411"/>
      <c r="E73" s="66"/>
      <c r="G73" s="607">
        <f>ROUND(C77*0.05+C77,0)</f>
        <v>0</v>
      </c>
      <c r="H73" s="569" t="str">
        <f>CONCATENATE("Less ",E1-2," Expenditures + 5%")</f>
        <v>Less -2 Expenditures + 5%</v>
      </c>
      <c r="I73" s="604"/>
      <c r="J73" s="602"/>
    </row>
    <row r="74" spans="2:10" ht="15.75">
      <c r="B74" s="250" t="str">
        <f>CONCATENATE("Cash Forward (",E1," column)")</f>
        <v>Cash Forward (0 column)</v>
      </c>
      <c r="C74" s="411"/>
      <c r="D74" s="411"/>
      <c r="E74" s="66"/>
      <c r="G74" s="608">
        <f>G71-G73</f>
        <v>0</v>
      </c>
      <c r="H74" s="589" t="str">
        <f>CONCATENATE("Projected ",E1+1," carryover (est.)")</f>
        <v>Projected 1 carryover (est.)</v>
      </c>
      <c r="I74" s="609"/>
      <c r="J74" s="610"/>
    </row>
    <row r="75" spans="2:10" ht="15.75">
      <c r="B75" s="250" t="s">
        <v>298</v>
      </c>
      <c r="C75" s="411"/>
      <c r="D75" s="411"/>
      <c r="E75" s="66"/>
      <c r="G75" s="581"/>
      <c r="H75" s="581"/>
      <c r="I75" s="581"/>
      <c r="J75" s="581"/>
    </row>
    <row r="76" spans="2:10" ht="15.75">
      <c r="B76" s="250" t="s">
        <v>299</v>
      </c>
      <c r="C76" s="384">
        <f>IF(C77*0.1&lt;C75,"Exceed 10% Rule","")</f>
      </c>
      <c r="D76" s="384">
        <f>IF(D77*0.1&lt;D75,"Exceed 10% Rule","")</f>
      </c>
      <c r="E76" s="277">
        <f>IF(E77*0.1&lt;E75,"Exceed 10% Rule","")</f>
      </c>
      <c r="G76" s="860" t="s">
        <v>815</v>
      </c>
      <c r="H76" s="861"/>
      <c r="I76" s="861"/>
      <c r="J76" s="862"/>
    </row>
    <row r="77" spans="2:10" ht="15.75">
      <c r="B77" s="252" t="s">
        <v>63</v>
      </c>
      <c r="C77" s="388">
        <f>SUM(C68:C75)</f>
        <v>0</v>
      </c>
      <c r="D77" s="388">
        <f>SUM(D68:D75)</f>
        <v>0</v>
      </c>
      <c r="E77" s="296">
        <f>SUM(E68:E75)</f>
        <v>0</v>
      </c>
      <c r="G77" s="592"/>
      <c r="H77" s="584"/>
      <c r="I77" s="593"/>
      <c r="J77" s="594"/>
    </row>
    <row r="78" spans="2:10" ht="15.75">
      <c r="B78" s="118" t="s">
        <v>195</v>
      </c>
      <c r="C78" s="383">
        <f>C66-C77</f>
        <v>0</v>
      </c>
      <c r="D78" s="383">
        <f>D66-D77</f>
        <v>0</v>
      </c>
      <c r="E78" s="270" t="s">
        <v>35</v>
      </c>
      <c r="G78" s="595" t="str">
        <f>summ!H38</f>
        <v>  </v>
      </c>
      <c r="H78" s="584" t="str">
        <f>CONCATENATE("",E1," Fund Mill Rate")</f>
        <v>0 Fund Mill Rate</v>
      </c>
      <c r="I78" s="593"/>
      <c r="J78" s="594"/>
    </row>
    <row r="79" spans="2:10" ht="15.75">
      <c r="B79" s="146" t="str">
        <f>CONCATENATE("",E1-2,"/",E1-1,"/",E1," Budget Authority Amount:")</f>
        <v>-2/-1/0 Budget Authority Amount:</v>
      </c>
      <c r="C79" s="272">
        <f>inputOth!B53</f>
        <v>0</v>
      </c>
      <c r="D79" s="272">
        <f>inputPrYr!D39</f>
        <v>0</v>
      </c>
      <c r="E79" s="209">
        <f>E77</f>
        <v>0</v>
      </c>
      <c r="F79" s="263"/>
      <c r="G79" s="596" t="str">
        <f>summ!E38</f>
        <v>  </v>
      </c>
      <c r="H79" s="584" t="str">
        <f>CONCATENATE("",E1-1," Fund Mill Rate")</f>
        <v>-1 Fund Mill Rate</v>
      </c>
      <c r="I79" s="593"/>
      <c r="J79" s="594"/>
    </row>
    <row r="80" spans="2:10" ht="15.75">
      <c r="B80" s="231"/>
      <c r="C80" s="856" t="s">
        <v>675</v>
      </c>
      <c r="D80" s="857"/>
      <c r="E80" s="66"/>
      <c r="F80" s="423">
        <f>IF(E77/0.95-E77&lt;E80,"Exceeds 5%","")</f>
      </c>
      <c r="G80" s="597">
        <f>summ!H52</f>
        <v>0</v>
      </c>
      <c r="H80" s="584" t="str">
        <f>CONCATENATE("Total ",E1," Mill Rate")</f>
        <v>Total 0 Mill Rate</v>
      </c>
      <c r="I80" s="593"/>
      <c r="J80" s="594"/>
    </row>
    <row r="81" spans="2:10" ht="15.75">
      <c r="B81" s="417" t="str">
        <f>CONCATENATE(C94,"      ",D94)</f>
        <v>      </v>
      </c>
      <c r="C81" s="858" t="s">
        <v>676</v>
      </c>
      <c r="D81" s="859"/>
      <c r="E81" s="209">
        <f>E77+E80</f>
        <v>0</v>
      </c>
      <c r="G81" s="596">
        <f>summ!E52</f>
        <v>0</v>
      </c>
      <c r="H81" s="598" t="str">
        <f>CONCATENATE("Total ",E1-1," Mill Rate")</f>
        <v>Total -1 Mill Rate</v>
      </c>
      <c r="I81" s="599"/>
      <c r="J81" s="600"/>
    </row>
    <row r="82" spans="2:5" ht="15.75">
      <c r="B82" s="417" t="str">
        <f>CONCATENATE(C95,"      ",D95)</f>
        <v>      </v>
      </c>
      <c r="C82" s="264"/>
      <c r="D82" s="79" t="s">
        <v>64</v>
      </c>
      <c r="E82" s="70">
        <f>IF(E81-E66&gt;0,E81-E66,0)</f>
        <v>0</v>
      </c>
    </row>
    <row r="83" spans="2:10" ht="15.75">
      <c r="B83" s="79"/>
      <c r="C83" s="402" t="s">
        <v>677</v>
      </c>
      <c r="D83" s="624">
        <f>inputOth!$E$24</f>
        <v>0</v>
      </c>
      <c r="E83" s="209">
        <f>ROUND(IF(D83&gt;0,(E82*D83),0),0)</f>
        <v>0</v>
      </c>
      <c r="G83" s="741" t="s">
        <v>964</v>
      </c>
      <c r="H83" s="742"/>
      <c r="I83" s="744"/>
      <c r="J83" s="743" t="str">
        <f>cert!F62</f>
        <v>No</v>
      </c>
    </row>
    <row r="84" spans="2:10" ht="15.75">
      <c r="B84" s="45"/>
      <c r="C84" s="854" t="str">
        <f>CONCATENATE("Amount of  ",$E$1-1," Ad Valorem Tax")</f>
        <v>Amount of  -1 Ad Valorem Tax</v>
      </c>
      <c r="D84" s="855"/>
      <c r="E84" s="282">
        <f>E82+E83</f>
        <v>0</v>
      </c>
      <c r="G84" s="745" t="str">
        <f>CONCATENATE("Computed ",E1," tax levy limit amount")</f>
        <v>Computed 0 tax levy limit amount</v>
      </c>
      <c r="H84" s="746"/>
      <c r="I84" s="746"/>
      <c r="J84" s="747">
        <f>computation!J42</f>
        <v>0</v>
      </c>
    </row>
    <row r="85" spans="2:10" ht="15.75">
      <c r="B85" s="265" t="s">
        <v>115</v>
      </c>
      <c r="C85" s="709"/>
      <c r="D85" s="45"/>
      <c r="E85" s="45"/>
      <c r="G85" s="748" t="str">
        <f>CONCATENATE("Total ",E1," tax levy amount")</f>
        <v>Total 0 tax levy amount</v>
      </c>
      <c r="H85" s="749"/>
      <c r="I85" s="749"/>
      <c r="J85" s="750">
        <f>summ!G52</f>
        <v>0</v>
      </c>
    </row>
    <row r="92" spans="3:4" ht="15.75" hidden="1">
      <c r="C92" s="31">
        <f>IF(C35&gt;C37,"See Tab A","")</f>
      </c>
      <c r="D92" s="31">
        <f>IF(D35&gt;D37,"See Tab C","")</f>
      </c>
    </row>
    <row r="93" spans="3:4" ht="15.75" hidden="1">
      <c r="C93" s="31">
        <f>IF(C36&lt;0,"See Tab B","")</f>
      </c>
      <c r="D93" s="31">
        <f>IF(D36&lt;0,"See Tab D","")</f>
      </c>
    </row>
    <row r="94" spans="3:4" ht="15.75" hidden="1">
      <c r="C94" s="31">
        <f>IF(C77&gt;C79,"See Tab A","")</f>
      </c>
      <c r="D94" s="31">
        <f>IF(D77&gt;D79,"See Tab C","")</f>
      </c>
    </row>
    <row r="95" spans="3:4" ht="15.75" hidden="1">
      <c r="C95" s="31">
        <f>IF(C78&lt;0,"See Tab B","")</f>
      </c>
      <c r="D95" s="31">
        <f>IF(D78&lt;0,"See Tab D","")</f>
      </c>
    </row>
  </sheetData>
  <sheetProtection sheet="1"/>
  <mergeCells count="12">
    <mergeCell ref="G17:J17"/>
    <mergeCell ref="G24:J24"/>
    <mergeCell ref="G34:J34"/>
    <mergeCell ref="G59:J59"/>
    <mergeCell ref="G66:J66"/>
    <mergeCell ref="G76:J76"/>
    <mergeCell ref="C38:D38"/>
    <mergeCell ref="C39:D39"/>
    <mergeCell ref="C80:D80"/>
    <mergeCell ref="C81:D81"/>
    <mergeCell ref="C84:D84"/>
    <mergeCell ref="C42:D42"/>
  </mergeCells>
  <conditionalFormatting sqref="E38">
    <cfRule type="cellIs" priority="3" dxfId="351" operator="greaterThan" stopIfTrue="1">
      <formula>$E$35/0.95-$E$35</formula>
    </cfRule>
  </conditionalFormatting>
  <conditionalFormatting sqref="E80">
    <cfRule type="cellIs" priority="4" dxfId="351" operator="greaterThan" stopIfTrue="1">
      <formula>$E$77/0.95-$E$77</formula>
    </cfRule>
  </conditionalFormatting>
  <conditionalFormatting sqref="E75">
    <cfRule type="cellIs" priority="5" dxfId="351" operator="greaterThan" stopIfTrue="1">
      <formula>$E$77*0.1</formula>
    </cfRule>
  </conditionalFormatting>
  <conditionalFormatting sqref="C21">
    <cfRule type="cellIs" priority="6" dxfId="351" operator="greaterThan" stopIfTrue="1">
      <formula>$C$23*0.1</formula>
    </cfRule>
  </conditionalFormatting>
  <conditionalFormatting sqref="D21">
    <cfRule type="cellIs" priority="7" dxfId="351" operator="greaterThan" stopIfTrue="1">
      <formula>$D$23*0.1</formula>
    </cfRule>
  </conditionalFormatting>
  <conditionalFormatting sqref="E33">
    <cfRule type="cellIs" priority="8" dxfId="351" operator="greaterThan" stopIfTrue="1">
      <formula>$E$35*0.1</formula>
    </cfRule>
  </conditionalFormatting>
  <conditionalFormatting sqref="E21">
    <cfRule type="cellIs" priority="9" dxfId="351" operator="greaterThan" stopIfTrue="1">
      <formula>$E$23*0.1+E42</formula>
    </cfRule>
  </conditionalFormatting>
  <conditionalFormatting sqref="E63">
    <cfRule type="cellIs" priority="10" dxfId="351" operator="greaterThan" stopIfTrue="1">
      <formula>$E$65*0.1+E84</formula>
    </cfRule>
  </conditionalFormatting>
  <conditionalFormatting sqref="C75">
    <cfRule type="cellIs" priority="11" dxfId="2" operator="greaterThan" stopIfTrue="1">
      <formula>$C$77*0.1</formula>
    </cfRule>
  </conditionalFormatting>
  <conditionalFormatting sqref="D75">
    <cfRule type="cellIs" priority="12" dxfId="2" operator="greaterThan" stopIfTrue="1">
      <formula>$D$77*0.1</formula>
    </cfRule>
  </conditionalFormatting>
  <conditionalFormatting sqref="D63">
    <cfRule type="cellIs" priority="13" dxfId="2" operator="greaterThan" stopIfTrue="1">
      <formula>$D$65*0.1</formula>
    </cfRule>
  </conditionalFormatting>
  <conditionalFormatting sqref="C63">
    <cfRule type="cellIs" priority="14" dxfId="2" operator="greaterThan" stopIfTrue="1">
      <formula>$C$65*0.1</formula>
    </cfRule>
  </conditionalFormatting>
  <conditionalFormatting sqref="C33">
    <cfRule type="cellIs" priority="15" dxfId="2" operator="greaterThan" stopIfTrue="1">
      <formula>$C$35*0.1</formula>
    </cfRule>
  </conditionalFormatting>
  <conditionalFormatting sqref="D33">
    <cfRule type="cellIs" priority="16" dxfId="2" operator="greaterThan" stopIfTrue="1">
      <formula>$D$35*0.1</formula>
    </cfRule>
  </conditionalFormatting>
  <conditionalFormatting sqref="C35">
    <cfRule type="cellIs" priority="17" dxfId="2" operator="greaterThan" stopIfTrue="1">
      <formula>$C$37</formula>
    </cfRule>
  </conditionalFormatting>
  <conditionalFormatting sqref="D35">
    <cfRule type="cellIs" priority="18" dxfId="2" operator="greaterThan" stopIfTrue="1">
      <formula>$D$37</formula>
    </cfRule>
  </conditionalFormatting>
  <conditionalFormatting sqref="C78 C36">
    <cfRule type="cellIs" priority="19" dxfId="2" operator="lessThan" stopIfTrue="1">
      <formula>0</formula>
    </cfRule>
  </conditionalFormatting>
  <conditionalFormatting sqref="C77">
    <cfRule type="cellIs" priority="20" dxfId="2" operator="greaterThan" stopIfTrue="1">
      <formula>$C$79</formula>
    </cfRule>
  </conditionalFormatting>
  <conditionalFormatting sqref="D77">
    <cfRule type="cellIs" priority="21" dxfId="2" operator="greaterThan" stopIfTrue="1">
      <formula>$D$79</formula>
    </cfRule>
  </conditionalFormatting>
  <conditionalFormatting sqref="D78 D36">
    <cfRule type="cellIs" priority="2" dxfId="0" operator="lessThan" stopIfTrue="1">
      <formula>0</formula>
    </cfRule>
  </conditionalFormatting>
  <printOptions/>
  <pageMargins left="1.12" right="0.5" top="0.74" bottom="0.34" header="0.5" footer="0"/>
  <pageSetup blackAndWhite="1" fitToHeight="1" fitToWidth="1" horizontalDpi="300" verticalDpi="300" orientation="portrait" scale="57" r:id="rId1"/>
  <headerFooter alignWithMargins="0">
    <oddHeader>&amp;RState of Kansas
County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Q166" sqref="Q166"/>
    </sheetView>
  </sheetViews>
  <sheetFormatPr defaultColWidth="8.796875" defaultRowHeight="15"/>
  <cols>
    <col min="1" max="1" width="2.3984375" style="31" customWidth="1"/>
    <col min="2" max="2" width="31.09765625" style="31" customWidth="1"/>
    <col min="3" max="4" width="15.796875" style="31" customWidth="1"/>
    <col min="5" max="5" width="16.19921875" style="31" customWidth="1"/>
    <col min="6" max="6" width="8.8984375" style="31" customWidth="1"/>
    <col min="7" max="7" width="10.19921875" style="31" customWidth="1"/>
    <col min="8" max="8" width="8.8984375" style="31" customWidth="1"/>
    <col min="9" max="9" width="5.8984375" style="31" customWidth="1"/>
    <col min="10" max="10" width="10" style="31" customWidth="1"/>
    <col min="11" max="16384" width="8.8984375" style="31" customWidth="1"/>
  </cols>
  <sheetData>
    <row r="1" spans="2:5" ht="15.75">
      <c r="B1" s="160">
        <f>inputPrYr!C3</f>
        <v>0</v>
      </c>
      <c r="C1" s="45"/>
      <c r="D1" s="45"/>
      <c r="E1" s="230">
        <f>inputPrYr!C5</f>
        <v>0</v>
      </c>
    </row>
    <row r="2" spans="2:5" ht="15.75">
      <c r="B2" s="169"/>
      <c r="C2" s="266"/>
      <c r="D2" s="266"/>
      <c r="E2" s="267"/>
    </row>
    <row r="3" spans="2:5" ht="15.75">
      <c r="B3" s="414" t="s">
        <v>162</v>
      </c>
      <c r="C3" s="110"/>
      <c r="D3" s="110"/>
      <c r="E3" s="110"/>
    </row>
    <row r="4" spans="2:5" ht="15.75">
      <c r="B4" s="44" t="s">
        <v>49</v>
      </c>
      <c r="C4" s="563" t="s">
        <v>811</v>
      </c>
      <c r="D4" s="564" t="s">
        <v>812</v>
      </c>
      <c r="E4" s="114" t="s">
        <v>813</v>
      </c>
    </row>
    <row r="5" spans="2:5" ht="15.75">
      <c r="B5" s="405">
        <f>inputPrYr!$B$40</f>
        <v>0</v>
      </c>
      <c r="C5" s="386" t="str">
        <f>CONCATENATE("Actual for ",E1-2,"")</f>
        <v>Actual for -2</v>
      </c>
      <c r="D5" s="386" t="str">
        <f>CONCATENATE("Estimate for ",E1-1,"")</f>
        <v>Estimate for -1</v>
      </c>
      <c r="E5" s="244" t="str">
        <f>CONCATENATE("Year for ",E1,"")</f>
        <v>Year for 0</v>
      </c>
    </row>
    <row r="6" spans="2:5" ht="15.75">
      <c r="B6" s="118" t="s">
        <v>194</v>
      </c>
      <c r="C6" s="411"/>
      <c r="D6" s="385">
        <f>C36</f>
        <v>0</v>
      </c>
      <c r="E6" s="209">
        <f>D36</f>
        <v>0</v>
      </c>
    </row>
    <row r="7" spans="2:5" ht="15.75">
      <c r="B7" s="234" t="s">
        <v>196</v>
      </c>
      <c r="C7" s="132"/>
      <c r="D7" s="132"/>
      <c r="E7" s="81"/>
    </row>
    <row r="8" spans="2:5" ht="15.75">
      <c r="B8" s="118" t="s">
        <v>50</v>
      </c>
      <c r="C8" s="411"/>
      <c r="D8" s="385">
        <f>inputPrYr!E40</f>
        <v>0</v>
      </c>
      <c r="E8" s="270" t="s">
        <v>35</v>
      </c>
    </row>
    <row r="9" spans="2:5" ht="15.75">
      <c r="B9" s="118" t="s">
        <v>51</v>
      </c>
      <c r="C9" s="411"/>
      <c r="D9" s="411"/>
      <c r="E9" s="66"/>
    </row>
    <row r="10" spans="2:5" ht="15.75">
      <c r="B10" s="118" t="s">
        <v>52</v>
      </c>
      <c r="C10" s="411"/>
      <c r="D10" s="411"/>
      <c r="E10" s="209" t="str">
        <f>mvalloc!E33</f>
        <v>  </v>
      </c>
    </row>
    <row r="11" spans="2:5" ht="15.75">
      <c r="B11" s="118" t="s">
        <v>53</v>
      </c>
      <c r="C11" s="411"/>
      <c r="D11" s="411"/>
      <c r="E11" s="209" t="str">
        <f>mvalloc!F33</f>
        <v>  </v>
      </c>
    </row>
    <row r="12" spans="2:5" ht="15.75">
      <c r="B12" s="132" t="s">
        <v>154</v>
      </c>
      <c r="C12" s="411"/>
      <c r="D12" s="411"/>
      <c r="E12" s="209" t="str">
        <f>mvalloc!G33</f>
        <v>  </v>
      </c>
    </row>
    <row r="13" spans="2:5" ht="15.75">
      <c r="B13" s="273" t="s">
        <v>955</v>
      </c>
      <c r="C13" s="411"/>
      <c r="D13" s="411"/>
      <c r="E13" s="209" t="str">
        <f>mvalloc!H33</f>
        <v> </v>
      </c>
    </row>
    <row r="14" spans="2:5" ht="15.75">
      <c r="B14" s="273" t="s">
        <v>956</v>
      </c>
      <c r="C14" s="411"/>
      <c r="D14" s="411"/>
      <c r="E14" s="209" t="str">
        <f>mvalloc!I33</f>
        <v> </v>
      </c>
    </row>
    <row r="15" spans="2:5" ht="15.75">
      <c r="B15" s="261"/>
      <c r="C15" s="411"/>
      <c r="D15" s="411"/>
      <c r="E15" s="66"/>
    </row>
    <row r="16" spans="2:5" ht="15.75">
      <c r="B16" s="261"/>
      <c r="C16" s="411"/>
      <c r="D16" s="411"/>
      <c r="E16" s="66"/>
    </row>
    <row r="17" spans="2:10" ht="15.75">
      <c r="B17" s="261"/>
      <c r="C17" s="411"/>
      <c r="D17" s="411"/>
      <c r="E17" s="66"/>
      <c r="G17" s="863" t="str">
        <f>CONCATENATE("Desired Carryover Into ",E1+1,"")</f>
        <v>Desired Carryover Into 1</v>
      </c>
      <c r="H17" s="864"/>
      <c r="I17" s="864"/>
      <c r="J17" s="833"/>
    </row>
    <row r="18" spans="2:10" ht="15.75">
      <c r="B18" s="261"/>
      <c r="C18" s="411"/>
      <c r="D18" s="411"/>
      <c r="E18" s="66"/>
      <c r="G18" s="567"/>
      <c r="H18" s="568"/>
      <c r="I18" s="569"/>
      <c r="J18" s="570"/>
    </row>
    <row r="19" spans="2:10" ht="15.75">
      <c r="B19" s="249" t="s">
        <v>57</v>
      </c>
      <c r="C19" s="411"/>
      <c r="D19" s="411"/>
      <c r="E19" s="66"/>
      <c r="G19" s="571" t="s">
        <v>683</v>
      </c>
      <c r="H19" s="569"/>
      <c r="I19" s="569"/>
      <c r="J19" s="572">
        <v>0</v>
      </c>
    </row>
    <row r="20" spans="2:10" ht="15.75">
      <c r="B20" s="250" t="s">
        <v>297</v>
      </c>
      <c r="C20" s="411"/>
      <c r="D20" s="411"/>
      <c r="E20" s="280">
        <f>Nhood!E29*-1</f>
        <v>0</v>
      </c>
      <c r="G20" s="567" t="s">
        <v>684</v>
      </c>
      <c r="H20" s="568"/>
      <c r="I20" s="568"/>
      <c r="J20" s="573">
        <f>IF(J19=0,"",ROUND((J19+E42-G32)/inputOth!E5*1000,3)-G37)</f>
      </c>
    </row>
    <row r="21" spans="2:10" ht="15.75">
      <c r="B21" s="250" t="s">
        <v>298</v>
      </c>
      <c r="C21" s="411"/>
      <c r="D21" s="411"/>
      <c r="E21" s="66"/>
      <c r="G21" s="574" t="str">
        <f>CONCATENATE("",E1," Tot Exp/Non-Appr Must Be:")</f>
        <v>0 Tot Exp/Non-Appr Must Be:</v>
      </c>
      <c r="H21" s="575"/>
      <c r="I21" s="576"/>
      <c r="J21" s="577">
        <f>IF(J19&gt;0,IF(E39&lt;E24,IF(J19=G32,E39,((J19-G32)*(1-D41))+E24),E39+(J19-G32)),0)</f>
        <v>0</v>
      </c>
    </row>
    <row r="22" spans="2:10" ht="15.75">
      <c r="B22" s="250" t="s">
        <v>300</v>
      </c>
      <c r="C22" s="384">
        <f>IF(C23*0.1&lt;C21,"Exceed 10% Rule","")</f>
      </c>
      <c r="D22" s="384">
        <f>IF(D23*0.1&lt;D21,"Exceed 10% Rule","")</f>
      </c>
      <c r="E22" s="277">
        <f>IF(E23*0.1+E42&lt;E21,"Exceed 10% Rule","")</f>
      </c>
      <c r="G22" s="578" t="s">
        <v>814</v>
      </c>
      <c r="H22" s="579"/>
      <c r="I22" s="579"/>
      <c r="J22" s="580">
        <f>IF(J19&gt;0,J21-E39,0)</f>
        <v>0</v>
      </c>
    </row>
    <row r="23" spans="2:10" ht="15.75">
      <c r="B23" s="252" t="s">
        <v>58</v>
      </c>
      <c r="C23" s="388">
        <f>SUM(C8:C21)</f>
        <v>0</v>
      </c>
      <c r="D23" s="388">
        <f>SUM(D8:D21)</f>
        <v>0</v>
      </c>
      <c r="E23" s="296">
        <f>SUM(E8:E21)</f>
        <v>0</v>
      </c>
      <c r="G23" s="581"/>
      <c r="H23" s="581"/>
      <c r="I23" s="581"/>
      <c r="J23" s="581"/>
    </row>
    <row r="24" spans="2:10" ht="15.75">
      <c r="B24" s="252" t="s">
        <v>59</v>
      </c>
      <c r="C24" s="388">
        <f>C6+C23</f>
        <v>0</v>
      </c>
      <c r="D24" s="388">
        <f>D6+D23</f>
        <v>0</v>
      </c>
      <c r="E24" s="296">
        <f>E6+E23</f>
        <v>0</v>
      </c>
      <c r="G24" s="863" t="str">
        <f>CONCATENATE("Projected Carryover Into ",E1+1,"")</f>
        <v>Projected Carryover Into 1</v>
      </c>
      <c r="H24" s="867"/>
      <c r="I24" s="867"/>
      <c r="J24" s="868"/>
    </row>
    <row r="25" spans="2:10" ht="15.75">
      <c r="B25" s="118" t="s">
        <v>62</v>
      </c>
      <c r="C25" s="250"/>
      <c r="D25" s="250"/>
      <c r="E25" s="128"/>
      <c r="G25" s="567"/>
      <c r="H25" s="569"/>
      <c r="I25" s="569"/>
      <c r="J25" s="582"/>
    </row>
    <row r="26" spans="2:10" ht="15.75">
      <c r="B26" s="261"/>
      <c r="C26" s="411"/>
      <c r="D26" s="411"/>
      <c r="E26" s="66"/>
      <c r="G26" s="583">
        <f>D36</f>
        <v>0</v>
      </c>
      <c r="H26" s="584" t="str">
        <f>CONCATENATE("",E1-1," Ending Cash Balance (est.)")</f>
        <v>-1 Ending Cash Balance (est.)</v>
      </c>
      <c r="I26" s="585"/>
      <c r="J26" s="582"/>
    </row>
    <row r="27" spans="2:10" ht="15.75">
      <c r="B27" s="261"/>
      <c r="C27" s="411"/>
      <c r="D27" s="411"/>
      <c r="E27" s="66"/>
      <c r="G27" s="583">
        <f>E23</f>
        <v>0</v>
      </c>
      <c r="H27" s="569" t="str">
        <f>CONCATENATE("",E1," Non-AV Receipts (est.)")</f>
        <v>0 Non-AV Receipts (est.)</v>
      </c>
      <c r="I27" s="585"/>
      <c r="J27" s="582"/>
    </row>
    <row r="28" spans="2:11" ht="15.75">
      <c r="B28" s="261"/>
      <c r="C28" s="411"/>
      <c r="D28" s="411"/>
      <c r="E28" s="66"/>
      <c r="G28" s="586">
        <f>IF(E41&gt;0,E40,E42)</f>
        <v>0</v>
      </c>
      <c r="H28" s="569" t="str">
        <f>CONCATENATE("",E1," Ad Valorem Tax (est.)")</f>
        <v>0 Ad Valorem Tax (est.)</v>
      </c>
      <c r="I28" s="585"/>
      <c r="J28" s="582"/>
      <c r="K28" s="622">
        <f>IF(G28=E42,"","Note: Does not include Delinquent Taxes")</f>
      </c>
    </row>
    <row r="29" spans="2:10" ht="15.75">
      <c r="B29" s="261"/>
      <c r="C29" s="411"/>
      <c r="D29" s="411"/>
      <c r="E29" s="66"/>
      <c r="G29" s="583">
        <f>SUM(G26:G28)</f>
        <v>0</v>
      </c>
      <c r="H29" s="569" t="str">
        <f>CONCATENATE("Total ",E1," Resources Available")</f>
        <v>Total 0 Resources Available</v>
      </c>
      <c r="I29" s="585"/>
      <c r="J29" s="582"/>
    </row>
    <row r="30" spans="2:10" ht="15.75">
      <c r="B30" s="261"/>
      <c r="C30" s="411"/>
      <c r="D30" s="411"/>
      <c r="E30" s="66"/>
      <c r="G30" s="587"/>
      <c r="H30" s="569"/>
      <c r="I30" s="569"/>
      <c r="J30" s="582"/>
    </row>
    <row r="31" spans="2:10" ht="15.75">
      <c r="B31" s="261"/>
      <c r="C31" s="411"/>
      <c r="D31" s="411"/>
      <c r="E31" s="66"/>
      <c r="G31" s="586">
        <f>ROUND(C35*0.05+C35,0)</f>
        <v>0</v>
      </c>
      <c r="H31" s="569" t="str">
        <f>CONCATENATE("Less ",E1-2," Expenditures + 5%")</f>
        <v>Less -2 Expenditures + 5%</v>
      </c>
      <c r="I31" s="585"/>
      <c r="J31" s="602"/>
    </row>
    <row r="32" spans="2:10" ht="15.75">
      <c r="B32" s="250" t="str">
        <f>CONCATENATE("Cash Forward (",E1," column)")</f>
        <v>Cash Forward (0 column)</v>
      </c>
      <c r="C32" s="411"/>
      <c r="D32" s="411"/>
      <c r="E32" s="66"/>
      <c r="G32" s="588">
        <f>G29-G31</f>
        <v>0</v>
      </c>
      <c r="H32" s="589" t="str">
        <f>CONCATENATE("Projected ",E1+1," carryover (est.)")</f>
        <v>Projected 1 carryover (est.)</v>
      </c>
      <c r="I32" s="590"/>
      <c r="J32" s="591"/>
    </row>
    <row r="33" spans="2:10" ht="15.75">
      <c r="B33" s="250" t="s">
        <v>298</v>
      </c>
      <c r="C33" s="411"/>
      <c r="D33" s="411"/>
      <c r="E33" s="66"/>
      <c r="G33" s="581"/>
      <c r="H33" s="581"/>
      <c r="I33" s="581"/>
      <c r="J33" s="581"/>
    </row>
    <row r="34" spans="2:10" ht="15.75">
      <c r="B34" s="250" t="s">
        <v>299</v>
      </c>
      <c r="C34" s="384">
        <f>IF(C35*0.1&lt;C33,"Exceed 10% Rule","")</f>
      </c>
      <c r="D34" s="384">
        <f>IF(D35*0.1&lt;D33,"Exceed 10% Rule","")</f>
      </c>
      <c r="E34" s="277">
        <f>IF(E35*0.1&lt;E33,"Exceed 10% Rule","")</f>
      </c>
      <c r="G34" s="860" t="s">
        <v>815</v>
      </c>
      <c r="H34" s="861"/>
      <c r="I34" s="861"/>
      <c r="J34" s="862"/>
    </row>
    <row r="35" spans="2:10" ht="15.75">
      <c r="B35" s="252" t="s">
        <v>63</v>
      </c>
      <c r="C35" s="388">
        <f>SUM(C26:C33)</f>
        <v>0</v>
      </c>
      <c r="D35" s="388">
        <f>SUM(D26:D33)</f>
        <v>0</v>
      </c>
      <c r="E35" s="296">
        <f>SUM(E26:E33)</f>
        <v>0</v>
      </c>
      <c r="G35" s="592"/>
      <c r="H35" s="584"/>
      <c r="I35" s="593"/>
      <c r="J35" s="594"/>
    </row>
    <row r="36" spans="2:10" ht="15.75">
      <c r="B36" s="118" t="s">
        <v>195</v>
      </c>
      <c r="C36" s="383">
        <f>C24-C35</f>
        <v>0</v>
      </c>
      <c r="D36" s="383">
        <f>D24-D35</f>
        <v>0</v>
      </c>
      <c r="E36" s="270" t="s">
        <v>35</v>
      </c>
      <c r="G36" s="595" t="str">
        <f>summ!H39</f>
        <v>  </v>
      </c>
      <c r="H36" s="584" t="str">
        <f>CONCATENATE("",E1," Fund Mill Rate")</f>
        <v>0 Fund Mill Rate</v>
      </c>
      <c r="I36" s="593"/>
      <c r="J36" s="594"/>
    </row>
    <row r="37" spans="2:10" ht="15.75">
      <c r="B37" s="146" t="str">
        <f>CONCATENATE("",E1-2,"/",E1-1,"/",E1," Budget Authority Amount:")</f>
        <v>-2/-1/0 Budget Authority Amount:</v>
      </c>
      <c r="C37" s="272">
        <f>inputOth!B54</f>
        <v>0</v>
      </c>
      <c r="D37" s="272">
        <f>inputPrYr!D40</f>
        <v>0</v>
      </c>
      <c r="E37" s="209">
        <f>E35</f>
        <v>0</v>
      </c>
      <c r="F37" s="263"/>
      <c r="G37" s="596" t="str">
        <f>summ!E39</f>
        <v>  </v>
      </c>
      <c r="H37" s="584" t="str">
        <f>CONCATENATE("",E1-1," Fund Mill Rate")</f>
        <v>-1 Fund Mill Rate</v>
      </c>
      <c r="I37" s="593"/>
      <c r="J37" s="594"/>
    </row>
    <row r="38" spans="2:10" ht="15.75">
      <c r="B38" s="231"/>
      <c r="C38" s="856" t="s">
        <v>675</v>
      </c>
      <c r="D38" s="857"/>
      <c r="E38" s="66"/>
      <c r="F38" s="423">
        <f>IF(E35/0.95-E35&lt;E38,"Exceeds 5%","")</f>
      </c>
      <c r="G38" s="597">
        <f>summ!H52</f>
        <v>0</v>
      </c>
      <c r="H38" s="584" t="str">
        <f>CONCATENATE("Total ",E1," Mill Rate")</f>
        <v>Total 0 Mill Rate</v>
      </c>
      <c r="I38" s="593"/>
      <c r="J38" s="594"/>
    </row>
    <row r="39" spans="2:10" ht="15.75">
      <c r="B39" s="417" t="str">
        <f>CONCATENATE(C92,"     ",D92)</f>
        <v>     </v>
      </c>
      <c r="C39" s="858" t="s">
        <v>676</v>
      </c>
      <c r="D39" s="859"/>
      <c r="E39" s="209">
        <f>E35+E38</f>
        <v>0</v>
      </c>
      <c r="G39" s="596">
        <f>summ!E52</f>
        <v>0</v>
      </c>
      <c r="H39" s="598" t="str">
        <f>CONCATENATE("Total ",E1-1," Mill Rate")</f>
        <v>Total -1 Mill Rate</v>
      </c>
      <c r="I39" s="599"/>
      <c r="J39" s="600"/>
    </row>
    <row r="40" spans="2:10" ht="15.75">
      <c r="B40" s="417" t="str">
        <f>CONCATENATE(C93,"      ",D93)</f>
        <v>      </v>
      </c>
      <c r="C40" s="264"/>
      <c r="D40" s="79" t="s">
        <v>64</v>
      </c>
      <c r="E40" s="70">
        <f>IF(E39-E24&gt;0,E39-E24,0)</f>
        <v>0</v>
      </c>
      <c r="G40" s="581"/>
      <c r="H40" s="581"/>
      <c r="I40" s="581"/>
      <c r="J40" s="581"/>
    </row>
    <row r="41" spans="2:10" ht="15.75">
      <c r="B41" s="79"/>
      <c r="C41" s="402" t="s">
        <v>677</v>
      </c>
      <c r="D41" s="624">
        <f>inputOth!$E$24</f>
        <v>0</v>
      </c>
      <c r="E41" s="209">
        <f>ROUND(IF(D41&gt;0,(E40*D41),0),0)</f>
        <v>0</v>
      </c>
      <c r="G41" s="741" t="s">
        <v>964</v>
      </c>
      <c r="H41" s="742"/>
      <c r="I41" s="744"/>
      <c r="J41" s="743" t="str">
        <f>cert!F62</f>
        <v>No</v>
      </c>
    </row>
    <row r="42" spans="2:10" ht="15.75">
      <c r="B42" s="45"/>
      <c r="C42" s="854" t="str">
        <f>CONCATENATE("Amount of  ",$E$1-1," Ad Valorem Tax")</f>
        <v>Amount of  -1 Ad Valorem Tax</v>
      </c>
      <c r="D42" s="855"/>
      <c r="E42" s="282">
        <f>E40+E41</f>
        <v>0</v>
      </c>
      <c r="G42" s="758" t="str">
        <f>CONCATENATE("Computed ",E1," tax levy limit amount")</f>
        <v>Computed 0 tax levy limit amount</v>
      </c>
      <c r="H42" s="759"/>
      <c r="I42" s="759"/>
      <c r="J42" s="760">
        <f>computation!J42</f>
        <v>0</v>
      </c>
    </row>
    <row r="43" spans="2:10" ht="15.75">
      <c r="B43" s="45"/>
      <c r="C43" s="547"/>
      <c r="D43" s="45"/>
      <c r="E43" s="45"/>
      <c r="G43" s="761" t="str">
        <f>CONCATENATE("Total ",E1," tax levy amount")</f>
        <v>Total 0 tax levy amount</v>
      </c>
      <c r="H43" s="762"/>
      <c r="I43" s="762"/>
      <c r="J43" s="763">
        <f>summ!G52</f>
        <v>0</v>
      </c>
    </row>
    <row r="44" spans="2:10" ht="15.75">
      <c r="B44" s="45"/>
      <c r="C44" s="547"/>
      <c r="D44" s="45"/>
      <c r="E44" s="45"/>
      <c r="G44" s="581"/>
      <c r="H44" s="581"/>
      <c r="I44" s="581"/>
      <c r="J44" s="581"/>
    </row>
    <row r="45" spans="2:10" ht="15.75">
      <c r="B45" s="45"/>
      <c r="C45" s="110"/>
      <c r="D45" s="110"/>
      <c r="E45" s="110"/>
      <c r="G45" s="581"/>
      <c r="H45" s="581"/>
      <c r="I45" s="581"/>
      <c r="J45" s="581"/>
    </row>
    <row r="46" spans="2:10" ht="15.75">
      <c r="B46" s="44" t="s">
        <v>49</v>
      </c>
      <c r="C46" s="563" t="str">
        <f aca="true" t="shared" si="0" ref="C46:E47">C4</f>
        <v>Prior Year </v>
      </c>
      <c r="D46" s="564" t="str">
        <f t="shared" si="0"/>
        <v>Current Year </v>
      </c>
      <c r="E46" s="114" t="str">
        <f t="shared" si="0"/>
        <v>Proposed Budget </v>
      </c>
      <c r="G46" s="581"/>
      <c r="H46" s="581"/>
      <c r="I46" s="581"/>
      <c r="J46" s="581"/>
    </row>
    <row r="47" spans="2:10" ht="15.75">
      <c r="B47" s="405">
        <f>inputPrYr!$B$41</f>
        <v>0</v>
      </c>
      <c r="C47" s="386" t="str">
        <f t="shared" si="0"/>
        <v>Actual for -2</v>
      </c>
      <c r="D47" s="386" t="str">
        <f t="shared" si="0"/>
        <v>Estimate for -1</v>
      </c>
      <c r="E47" s="256" t="str">
        <f t="shared" si="0"/>
        <v>Year for 0</v>
      </c>
      <c r="G47" s="581"/>
      <c r="H47" s="581"/>
      <c r="I47" s="581"/>
      <c r="J47" s="581"/>
    </row>
    <row r="48" spans="2:10" ht="15.75">
      <c r="B48" s="118" t="s">
        <v>194</v>
      </c>
      <c r="C48" s="411"/>
      <c r="D48" s="385">
        <f>C78</f>
        <v>0</v>
      </c>
      <c r="E48" s="209">
        <f>D78</f>
        <v>0</v>
      </c>
      <c r="G48" s="581"/>
      <c r="H48" s="581"/>
      <c r="I48" s="581"/>
      <c r="J48" s="581"/>
    </row>
    <row r="49" spans="2:10" ht="15.75">
      <c r="B49" s="245" t="s">
        <v>196</v>
      </c>
      <c r="C49" s="132"/>
      <c r="D49" s="132"/>
      <c r="E49" s="81"/>
      <c r="G49" s="581"/>
      <c r="H49" s="581"/>
      <c r="I49" s="581"/>
      <c r="J49" s="581"/>
    </row>
    <row r="50" spans="2:10" ht="15.75">
      <c r="B50" s="118" t="s">
        <v>50</v>
      </c>
      <c r="C50" s="411"/>
      <c r="D50" s="385">
        <f>inputPrYr!E41</f>
        <v>0</v>
      </c>
      <c r="E50" s="270" t="s">
        <v>35</v>
      </c>
      <c r="G50" s="581"/>
      <c r="H50" s="581"/>
      <c r="I50" s="581"/>
      <c r="J50" s="581"/>
    </row>
    <row r="51" spans="2:10" ht="15.75">
      <c r="B51" s="118" t="s">
        <v>51</v>
      </c>
      <c r="C51" s="411"/>
      <c r="D51" s="411"/>
      <c r="E51" s="66"/>
      <c r="G51" s="581"/>
      <c r="H51" s="581"/>
      <c r="I51" s="581"/>
      <c r="J51" s="581"/>
    </row>
    <row r="52" spans="2:10" ht="15.75">
      <c r="B52" s="118" t="s">
        <v>52</v>
      </c>
      <c r="C52" s="411"/>
      <c r="D52" s="411"/>
      <c r="E52" s="209" t="str">
        <f>mvalloc!E34</f>
        <v>  </v>
      </c>
      <c r="G52" s="581"/>
      <c r="H52" s="581"/>
      <c r="I52" s="581"/>
      <c r="J52" s="581"/>
    </row>
    <row r="53" spans="2:10" ht="15.75">
      <c r="B53" s="118" t="s">
        <v>53</v>
      </c>
      <c r="C53" s="411"/>
      <c r="D53" s="411"/>
      <c r="E53" s="209" t="str">
        <f>mvalloc!F34</f>
        <v>  </v>
      </c>
      <c r="G53" s="581"/>
      <c r="H53" s="581"/>
      <c r="I53" s="581"/>
      <c r="J53" s="581"/>
    </row>
    <row r="54" spans="2:10" ht="15.75">
      <c r="B54" s="132" t="s">
        <v>154</v>
      </c>
      <c r="C54" s="411"/>
      <c r="D54" s="411"/>
      <c r="E54" s="209" t="str">
        <f>mvalloc!G34</f>
        <v>  </v>
      </c>
      <c r="G54" s="581"/>
      <c r="H54" s="581"/>
      <c r="I54" s="581"/>
      <c r="J54" s="581"/>
    </row>
    <row r="55" spans="2:10" ht="15.75">
      <c r="B55" s="273" t="s">
        <v>955</v>
      </c>
      <c r="C55" s="411"/>
      <c r="D55" s="411"/>
      <c r="E55" s="209" t="str">
        <f>mvalloc!H34</f>
        <v> </v>
      </c>
      <c r="G55" s="581"/>
      <c r="H55" s="581"/>
      <c r="I55" s="581"/>
      <c r="J55" s="581"/>
    </row>
    <row r="56" spans="2:10" ht="15.75">
      <c r="B56" s="273" t="s">
        <v>956</v>
      </c>
      <c r="C56" s="411"/>
      <c r="D56" s="411"/>
      <c r="E56" s="209" t="str">
        <f>mvalloc!I34</f>
        <v> </v>
      </c>
      <c r="G56" s="581"/>
      <c r="H56" s="581"/>
      <c r="I56" s="581"/>
      <c r="J56" s="581"/>
    </row>
    <row r="57" spans="2:10" ht="15.75">
      <c r="B57" s="261"/>
      <c r="C57" s="411"/>
      <c r="D57" s="411"/>
      <c r="E57" s="66"/>
      <c r="G57" s="581"/>
      <c r="H57" s="581"/>
      <c r="I57" s="581"/>
      <c r="J57" s="581"/>
    </row>
    <row r="58" spans="2:10" ht="15.75">
      <c r="B58" s="261"/>
      <c r="C58" s="411"/>
      <c r="D58" s="411"/>
      <c r="E58" s="66"/>
      <c r="G58" s="581"/>
      <c r="H58" s="581"/>
      <c r="I58" s="581"/>
      <c r="J58" s="581"/>
    </row>
    <row r="59" spans="2:10" ht="15.75">
      <c r="B59" s="261"/>
      <c r="C59" s="411"/>
      <c r="D59" s="411"/>
      <c r="E59" s="66"/>
      <c r="G59" s="863" t="str">
        <f>CONCATENATE("Desired Carryover Into ",E1+1,"")</f>
        <v>Desired Carryover Into 1</v>
      </c>
      <c r="H59" s="864"/>
      <c r="I59" s="864"/>
      <c r="J59" s="833"/>
    </row>
    <row r="60" spans="2:10" ht="15.75">
      <c r="B60" s="261"/>
      <c r="C60" s="411"/>
      <c r="D60" s="411"/>
      <c r="E60" s="66"/>
      <c r="G60" s="567"/>
      <c r="H60" s="568"/>
      <c r="I60" s="569"/>
      <c r="J60" s="570"/>
    </row>
    <row r="61" spans="2:10" ht="15.75">
      <c r="B61" s="249" t="s">
        <v>57</v>
      </c>
      <c r="C61" s="411"/>
      <c r="D61" s="411"/>
      <c r="E61" s="66"/>
      <c r="G61" s="571" t="s">
        <v>683</v>
      </c>
      <c r="H61" s="569"/>
      <c r="I61" s="569"/>
      <c r="J61" s="572">
        <v>0</v>
      </c>
    </row>
    <row r="62" spans="2:10" ht="15.75">
      <c r="B62" s="250" t="s">
        <v>297</v>
      </c>
      <c r="C62" s="411"/>
      <c r="D62" s="411"/>
      <c r="E62" s="280">
        <f>Nhood!E30*-1</f>
        <v>0</v>
      </c>
      <c r="G62" s="567" t="s">
        <v>684</v>
      </c>
      <c r="H62" s="568"/>
      <c r="I62" s="568"/>
      <c r="J62" s="573">
        <f>IF(J61=0,"",ROUND((J61+E84-G74)/inputOth!E5*1000,3)-G79)</f>
      </c>
    </row>
    <row r="63" spans="2:10" ht="15.75">
      <c r="B63" s="250" t="s">
        <v>298</v>
      </c>
      <c r="C63" s="411"/>
      <c r="D63" s="411"/>
      <c r="E63" s="66"/>
      <c r="G63" s="574" t="str">
        <f>CONCATENATE("",E1," Tot Exp/Non-Appr Must Be:")</f>
        <v>0 Tot Exp/Non-Appr Must Be:</v>
      </c>
      <c r="H63" s="575"/>
      <c r="I63" s="576"/>
      <c r="J63" s="577">
        <f>IF(J61&gt;0,IF(E81&lt;E66,IF(J61=G74,E81,((J61-G74)*(1-D83))+E66),E81+(J61-G74)),0)</f>
        <v>0</v>
      </c>
    </row>
    <row r="64" spans="2:10" ht="15.75">
      <c r="B64" s="250" t="s">
        <v>300</v>
      </c>
      <c r="C64" s="384">
        <f>IF(C65*0.1&lt;C63,"Exceed 10% Rule","")</f>
      </c>
      <c r="D64" s="384">
        <f>IF(D65*0.1&lt;D63,"Exceed 10% Rule","")</f>
      </c>
      <c r="E64" s="277">
        <f>IF(E65*0.1+E84&lt;E63,"Exceed 10% Rule","")</f>
      </c>
      <c r="G64" s="578" t="s">
        <v>814</v>
      </c>
      <c r="H64" s="579"/>
      <c r="I64" s="579"/>
      <c r="J64" s="580">
        <f>IF(J61&gt;0,J63-E81,0)</f>
        <v>0</v>
      </c>
    </row>
    <row r="65" spans="2:10" ht="15.75">
      <c r="B65" s="252" t="s">
        <v>58</v>
      </c>
      <c r="C65" s="388">
        <f>SUM(C50:C63)</f>
        <v>0</v>
      </c>
      <c r="D65" s="388">
        <f>SUM(D50:D63)</f>
        <v>0</v>
      </c>
      <c r="E65" s="296">
        <f>SUM(E50:E63)</f>
        <v>0</v>
      </c>
      <c r="G65" s="581"/>
      <c r="H65" s="581"/>
      <c r="I65" s="581"/>
      <c r="J65" s="581"/>
    </row>
    <row r="66" spans="2:10" ht="15.75">
      <c r="B66" s="252" t="s">
        <v>59</v>
      </c>
      <c r="C66" s="388">
        <f>C48+C65</f>
        <v>0</v>
      </c>
      <c r="D66" s="388">
        <f>D48+D65</f>
        <v>0</v>
      </c>
      <c r="E66" s="296">
        <f>E48+E65</f>
        <v>0</v>
      </c>
      <c r="G66" s="863" t="str">
        <f>CONCATENATE("Projected Carryover Into ",E1+1,"")</f>
        <v>Projected Carryover Into 1</v>
      </c>
      <c r="H66" s="869"/>
      <c r="I66" s="869"/>
      <c r="J66" s="868"/>
    </row>
    <row r="67" spans="2:10" ht="15.75">
      <c r="B67" s="118" t="s">
        <v>62</v>
      </c>
      <c r="C67" s="250"/>
      <c r="D67" s="250"/>
      <c r="E67" s="128"/>
      <c r="G67" s="601"/>
      <c r="H67" s="568"/>
      <c r="I67" s="568"/>
      <c r="J67" s="602"/>
    </row>
    <row r="68" spans="2:10" ht="15.75">
      <c r="B68" s="261"/>
      <c r="C68" s="411"/>
      <c r="D68" s="411"/>
      <c r="E68" s="66"/>
      <c r="G68" s="583">
        <f>D78</f>
        <v>0</v>
      </c>
      <c r="H68" s="584" t="str">
        <f>CONCATENATE("",E1-1," Ending Cash Balance (est.)")</f>
        <v>-1 Ending Cash Balance (est.)</v>
      </c>
      <c r="I68" s="585"/>
      <c r="J68" s="602"/>
    </row>
    <row r="69" spans="2:10" ht="15.75">
      <c r="B69" s="261"/>
      <c r="C69" s="411"/>
      <c r="D69" s="411"/>
      <c r="E69" s="66"/>
      <c r="G69" s="583">
        <f>E65</f>
        <v>0</v>
      </c>
      <c r="H69" s="569" t="str">
        <f>CONCATENATE("",E1," Non-AV Receipts (est.)")</f>
        <v>0 Non-AV Receipts (est.)</v>
      </c>
      <c r="I69" s="585"/>
      <c r="J69" s="602"/>
    </row>
    <row r="70" spans="2:11" ht="15.75">
      <c r="B70" s="261"/>
      <c r="C70" s="411"/>
      <c r="D70" s="411"/>
      <c r="E70" s="66"/>
      <c r="G70" s="586">
        <f>IF(E83&gt;0,E82,E84)</f>
        <v>0</v>
      </c>
      <c r="H70" s="569" t="str">
        <f>CONCATENATE("",E1," Ad Valorem Tax (est.)")</f>
        <v>0 Ad Valorem Tax (est.)</v>
      </c>
      <c r="I70" s="585"/>
      <c r="J70" s="602"/>
      <c r="K70" s="622">
        <f>IF(G70=E84,"","Note: Does not include Delinquent Taxes")</f>
      </c>
    </row>
    <row r="71" spans="2:10" ht="15.75">
      <c r="B71" s="261"/>
      <c r="C71" s="411"/>
      <c r="D71" s="411"/>
      <c r="E71" s="66"/>
      <c r="G71" s="603">
        <f>SUM(G68:G70)</f>
        <v>0</v>
      </c>
      <c r="H71" s="569" t="str">
        <f>CONCATENATE("Total ",E1," Resources Available")</f>
        <v>Total 0 Resources Available</v>
      </c>
      <c r="I71" s="604"/>
      <c r="J71" s="602"/>
    </row>
    <row r="72" spans="2:10" ht="15.75">
      <c r="B72" s="261"/>
      <c r="C72" s="411"/>
      <c r="D72" s="411"/>
      <c r="E72" s="66"/>
      <c r="G72" s="605"/>
      <c r="H72" s="606"/>
      <c r="I72" s="568"/>
      <c r="J72" s="602"/>
    </row>
    <row r="73" spans="2:10" ht="15.75">
      <c r="B73" s="261"/>
      <c r="C73" s="411"/>
      <c r="D73" s="411"/>
      <c r="E73" s="66"/>
      <c r="G73" s="607">
        <f>ROUND(C77*0.05+C77,0)</f>
        <v>0</v>
      </c>
      <c r="H73" s="569" t="str">
        <f>CONCATENATE("Less ",E1-2," Expenditures + 5%")</f>
        <v>Less -2 Expenditures + 5%</v>
      </c>
      <c r="I73" s="604"/>
      <c r="J73" s="602"/>
    </row>
    <row r="74" spans="2:10" ht="15.75">
      <c r="B74" s="250" t="str">
        <f>CONCATENATE("Cash Forward (",E1," column)")</f>
        <v>Cash Forward (0 column)</v>
      </c>
      <c r="C74" s="411"/>
      <c r="D74" s="411"/>
      <c r="E74" s="66"/>
      <c r="G74" s="608">
        <f>G71-G73</f>
        <v>0</v>
      </c>
      <c r="H74" s="589" t="str">
        <f>CONCATENATE("Projected ",E1+1," carryover (est.)")</f>
        <v>Projected 1 carryover (est.)</v>
      </c>
      <c r="I74" s="609"/>
      <c r="J74" s="610"/>
    </row>
    <row r="75" spans="2:10" ht="15.75">
      <c r="B75" s="250" t="s">
        <v>298</v>
      </c>
      <c r="C75" s="411"/>
      <c r="D75" s="411"/>
      <c r="E75" s="66"/>
      <c r="G75" s="581"/>
      <c r="H75" s="581"/>
      <c r="I75" s="581"/>
      <c r="J75" s="581"/>
    </row>
    <row r="76" spans="2:10" ht="15.75">
      <c r="B76" s="250" t="s">
        <v>299</v>
      </c>
      <c r="C76" s="384">
        <f>IF(C77*0.1&lt;C75,"Exceed 10% Rule","")</f>
      </c>
      <c r="D76" s="384">
        <f>IF(D77*0.1&lt;D75,"Exceed 10% Rule","")</f>
      </c>
      <c r="E76" s="277">
        <f>IF(E77*0.1&lt;E75,"Exceed 10% Rule","")</f>
      </c>
      <c r="G76" s="860" t="s">
        <v>815</v>
      </c>
      <c r="H76" s="861"/>
      <c r="I76" s="861"/>
      <c r="J76" s="862"/>
    </row>
    <row r="77" spans="2:10" ht="15.75">
      <c r="B77" s="252" t="s">
        <v>63</v>
      </c>
      <c r="C77" s="388">
        <f>SUM(C68:C75)</f>
        <v>0</v>
      </c>
      <c r="D77" s="388">
        <f>SUM(D68:D75)</f>
        <v>0</v>
      </c>
      <c r="E77" s="296">
        <f>SUM(E68:E75)</f>
        <v>0</v>
      </c>
      <c r="G77" s="592"/>
      <c r="H77" s="584"/>
      <c r="I77" s="593"/>
      <c r="J77" s="594"/>
    </row>
    <row r="78" spans="2:10" ht="15.75">
      <c r="B78" s="118" t="s">
        <v>195</v>
      </c>
      <c r="C78" s="383">
        <f>C66-C77</f>
        <v>0</v>
      </c>
      <c r="D78" s="383">
        <f>D66-D77</f>
        <v>0</v>
      </c>
      <c r="E78" s="270" t="s">
        <v>35</v>
      </c>
      <c r="G78" s="595" t="str">
        <f>summ!H40</f>
        <v>  </v>
      </c>
      <c r="H78" s="584" t="str">
        <f>CONCATENATE("",E1," Fund Mill Rate")</f>
        <v>0 Fund Mill Rate</v>
      </c>
      <c r="I78" s="593"/>
      <c r="J78" s="594"/>
    </row>
    <row r="79" spans="2:10" ht="15.75">
      <c r="B79" s="146" t="str">
        <f>CONCATENATE("",E1-2,"/",E1-1,"/",E1," Budget Authority Amount:")</f>
        <v>-2/-1/0 Budget Authority Amount:</v>
      </c>
      <c r="C79" s="272">
        <f>inputOth!B55</f>
        <v>0</v>
      </c>
      <c r="D79" s="272">
        <f>inputPrYr!D41</f>
        <v>0</v>
      </c>
      <c r="E79" s="209">
        <f>E77</f>
        <v>0</v>
      </c>
      <c r="F79" s="263"/>
      <c r="G79" s="596" t="str">
        <f>summ!E40</f>
        <v>  </v>
      </c>
      <c r="H79" s="584" t="str">
        <f>CONCATENATE("",E1-1," Fund Mill Rate")</f>
        <v>-1 Fund Mill Rate</v>
      </c>
      <c r="I79" s="593"/>
      <c r="J79" s="594"/>
    </row>
    <row r="80" spans="2:10" ht="15.75">
      <c r="B80" s="231"/>
      <c r="C80" s="856" t="s">
        <v>675</v>
      </c>
      <c r="D80" s="857"/>
      <c r="E80" s="66"/>
      <c r="F80" s="423">
        <f>IF(E77/0.95-E77&lt;E80,"Exceeds 5%","")</f>
      </c>
      <c r="G80" s="597">
        <f>summ!H52</f>
        <v>0</v>
      </c>
      <c r="H80" s="584" t="str">
        <f>CONCATENATE("Total ",E1," Mill Rate")</f>
        <v>Total 0 Mill Rate</v>
      </c>
      <c r="I80" s="593"/>
      <c r="J80" s="594"/>
    </row>
    <row r="81" spans="2:10" ht="15.75">
      <c r="B81" s="417" t="str">
        <f>CONCATENATE(C94,"      ",D94)</f>
        <v>      </v>
      </c>
      <c r="C81" s="858" t="s">
        <v>676</v>
      </c>
      <c r="D81" s="859"/>
      <c r="E81" s="209">
        <f>E77+E80</f>
        <v>0</v>
      </c>
      <c r="G81" s="596">
        <f>summ!E52</f>
        <v>0</v>
      </c>
      <c r="H81" s="598" t="str">
        <f>CONCATENATE("Total ",E1-1," Mill Rate")</f>
        <v>Total -1 Mill Rate</v>
      </c>
      <c r="I81" s="599"/>
      <c r="J81" s="600"/>
    </row>
    <row r="82" spans="2:5" ht="15.75">
      <c r="B82" s="417" t="str">
        <f>CONCATENATE(C95,"      ",D95)</f>
        <v>      </v>
      </c>
      <c r="C82" s="264"/>
      <c r="D82" s="79" t="s">
        <v>64</v>
      </c>
      <c r="E82" s="70">
        <f>IF(E81-E66&gt;0,E81-E66,0)</f>
        <v>0</v>
      </c>
    </row>
    <row r="83" spans="2:10" ht="15.75">
      <c r="B83" s="79"/>
      <c r="C83" s="402" t="s">
        <v>677</v>
      </c>
      <c r="D83" s="624">
        <f>inputOth!$E$24</f>
        <v>0</v>
      </c>
      <c r="E83" s="209">
        <f>ROUND(IF(D83&gt;0,(E82*D83),0),0)</f>
        <v>0</v>
      </c>
      <c r="G83" s="741" t="s">
        <v>964</v>
      </c>
      <c r="H83" s="742"/>
      <c r="I83" s="744"/>
      <c r="J83" s="743" t="str">
        <f>cert!F62</f>
        <v>No</v>
      </c>
    </row>
    <row r="84" spans="2:10" ht="15.75">
      <c r="B84" s="45"/>
      <c r="C84" s="854" t="str">
        <f>CONCATENATE("Amount of  ",$E$1-1," Ad Valorem Tax")</f>
        <v>Amount of  -1 Ad Valorem Tax</v>
      </c>
      <c r="D84" s="855"/>
      <c r="E84" s="282">
        <f>E82+E83</f>
        <v>0</v>
      </c>
      <c r="G84" s="745" t="str">
        <f>CONCATENATE("Computed ",E1," tax levy limit amount")</f>
        <v>Computed 0 tax levy limit amount</v>
      </c>
      <c r="H84" s="746"/>
      <c r="I84" s="746"/>
      <c r="J84" s="747">
        <f>computation!J42</f>
        <v>0</v>
      </c>
    </row>
    <row r="85" spans="2:10" ht="15.75">
      <c r="B85" s="265" t="s">
        <v>115</v>
      </c>
      <c r="C85" s="709"/>
      <c r="D85" s="45"/>
      <c r="E85" s="45"/>
      <c r="G85" s="748" t="str">
        <f>CONCATENATE("Total ",E1," tax levy amount")</f>
        <v>Total 0 tax levy amount</v>
      </c>
      <c r="H85" s="749"/>
      <c r="I85" s="749"/>
      <c r="J85" s="750">
        <f>summ!G52</f>
        <v>0</v>
      </c>
    </row>
    <row r="92" spans="3:4" ht="15.75" hidden="1">
      <c r="C92" s="31">
        <f>IF(C35&gt;C37,"See Tab A","")</f>
      </c>
      <c r="D92" s="31">
        <f>IF(D35&gt;D37,"See Tab C","")</f>
      </c>
    </row>
    <row r="93" spans="3:4" ht="15.75" hidden="1">
      <c r="C93" s="31">
        <f>IF(C36&lt;0,"See Tab B","")</f>
      </c>
      <c r="D93" s="31">
        <f>IF(D36&lt;0,"See Tab D","")</f>
      </c>
    </row>
    <row r="94" spans="3:4" ht="15.75" hidden="1">
      <c r="C94" s="31">
        <f>IF(C77&gt;C79,"See Tab A","")</f>
      </c>
      <c r="D94" s="31">
        <f>IF(D77&gt;D79,"See Tab C","")</f>
      </c>
    </row>
    <row r="95" spans="3:4" ht="15.75" hidden="1">
      <c r="C95" s="31">
        <f>IF(C78&lt;0,"See Tab B","")</f>
      </c>
      <c r="D95" s="31">
        <f>IF(D78&lt;0,"See Tab D","")</f>
      </c>
    </row>
    <row r="98" spans="3:4" ht="15.75">
      <c r="C98" s="31">
        <f>IF(C81&lt;0,"See Tab B","")</f>
      </c>
      <c r="D98" s="31">
        <f>IF(D81&lt;0,"See Tab D","")</f>
      </c>
    </row>
  </sheetData>
  <sheetProtection sheet="1"/>
  <mergeCells count="12">
    <mergeCell ref="G17:J17"/>
    <mergeCell ref="G24:J24"/>
    <mergeCell ref="G34:J34"/>
    <mergeCell ref="G59:J59"/>
    <mergeCell ref="G66:J66"/>
    <mergeCell ref="G76:J76"/>
    <mergeCell ref="C38:D38"/>
    <mergeCell ref="C39:D39"/>
    <mergeCell ref="C80:D80"/>
    <mergeCell ref="C81:D81"/>
    <mergeCell ref="C84:D84"/>
    <mergeCell ref="C42:D42"/>
  </mergeCells>
  <conditionalFormatting sqref="E38">
    <cfRule type="cellIs" priority="3" dxfId="351" operator="greaterThan" stopIfTrue="1">
      <formula>$E$35/0.95-$E$35</formula>
    </cfRule>
  </conditionalFormatting>
  <conditionalFormatting sqref="E80">
    <cfRule type="cellIs" priority="4" dxfId="351" operator="greaterThan" stopIfTrue="1">
      <formula>$E$77/0.95-$E$77</formula>
    </cfRule>
  </conditionalFormatting>
  <conditionalFormatting sqref="E75">
    <cfRule type="cellIs" priority="5" dxfId="351" operator="greaterThan" stopIfTrue="1">
      <formula>$E$77*0.1</formula>
    </cfRule>
  </conditionalFormatting>
  <conditionalFormatting sqref="C21">
    <cfRule type="cellIs" priority="6" dxfId="351" operator="greaterThan" stopIfTrue="1">
      <formula>$C$23*0.1</formula>
    </cfRule>
  </conditionalFormatting>
  <conditionalFormatting sqref="D21">
    <cfRule type="cellIs" priority="7" dxfId="351" operator="greaterThan" stopIfTrue="1">
      <formula>$D$23*0.1</formula>
    </cfRule>
  </conditionalFormatting>
  <conditionalFormatting sqref="E33">
    <cfRule type="cellIs" priority="8" dxfId="351" operator="greaterThan" stopIfTrue="1">
      <formula>$E$35*0.1</formula>
    </cfRule>
  </conditionalFormatting>
  <conditionalFormatting sqref="E21">
    <cfRule type="cellIs" priority="9" dxfId="351" operator="greaterThan" stopIfTrue="1">
      <formula>$E$23*0.1+E42</formula>
    </cfRule>
  </conditionalFormatting>
  <conditionalFormatting sqref="E63">
    <cfRule type="cellIs" priority="10" dxfId="351" operator="greaterThan" stopIfTrue="1">
      <formula>$E$65*0.1+E84</formula>
    </cfRule>
  </conditionalFormatting>
  <conditionalFormatting sqref="C75">
    <cfRule type="cellIs" priority="11" dxfId="2" operator="greaterThan" stopIfTrue="1">
      <formula>$C$77*0.1</formula>
    </cfRule>
  </conditionalFormatting>
  <conditionalFormatting sqref="D75">
    <cfRule type="cellIs" priority="12" dxfId="2" operator="greaterThan" stopIfTrue="1">
      <formula>$D$77*0.1</formula>
    </cfRule>
  </conditionalFormatting>
  <conditionalFormatting sqref="C78 C36">
    <cfRule type="cellIs" priority="13" dxfId="2" operator="lessThan" stopIfTrue="1">
      <formula>0</formula>
    </cfRule>
  </conditionalFormatting>
  <conditionalFormatting sqref="C77">
    <cfRule type="cellIs" priority="14" dxfId="2" operator="greaterThan" stopIfTrue="1">
      <formula>$C$79</formula>
    </cfRule>
  </conditionalFormatting>
  <conditionalFormatting sqref="D77">
    <cfRule type="cellIs" priority="15" dxfId="2" operator="greaterThan" stopIfTrue="1">
      <formula>$D$79</formula>
    </cfRule>
  </conditionalFormatting>
  <conditionalFormatting sqref="D63">
    <cfRule type="cellIs" priority="16" dxfId="2" operator="greaterThan" stopIfTrue="1">
      <formula>$D$65*0.1</formula>
    </cfRule>
  </conditionalFormatting>
  <conditionalFormatting sqref="C63">
    <cfRule type="cellIs" priority="17" dxfId="2" operator="greaterThan" stopIfTrue="1">
      <formula>$C$65*0.1</formula>
    </cfRule>
  </conditionalFormatting>
  <conditionalFormatting sqref="C33">
    <cfRule type="cellIs" priority="18" dxfId="2" operator="greaterThan" stopIfTrue="1">
      <formula>$C$35*0.1</formula>
    </cfRule>
  </conditionalFormatting>
  <conditionalFormatting sqref="D33">
    <cfRule type="cellIs" priority="19" dxfId="2" operator="greaterThan" stopIfTrue="1">
      <formula>$D$35*0.1</formula>
    </cfRule>
  </conditionalFormatting>
  <conditionalFormatting sqref="C35">
    <cfRule type="cellIs" priority="20" dxfId="2" operator="greaterThan" stopIfTrue="1">
      <formula>$C$37</formula>
    </cfRule>
  </conditionalFormatting>
  <conditionalFormatting sqref="D35">
    <cfRule type="cellIs" priority="21" dxfId="2" operator="greaterThan" stopIfTrue="1">
      <formula>$D$37</formula>
    </cfRule>
  </conditionalFormatting>
  <conditionalFormatting sqref="D78 D36">
    <cfRule type="cellIs" priority="2" dxfId="0" operator="lessThan" stopIfTrue="1">
      <formula>0</formula>
    </cfRule>
  </conditionalFormatting>
  <printOptions/>
  <pageMargins left="1.12" right="0.5" top="0.74" bottom="0.34" header="0.5" footer="0"/>
  <pageSetup blackAndWhite="1" fitToHeight="1" fitToWidth="1" horizontalDpi="300" verticalDpi="300" orientation="portrait" scale="51" r:id="rId1"/>
  <headerFooter alignWithMargins="0">
    <oddHeader>&amp;RState of Kansas
County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Q104" sqref="Q104"/>
    </sheetView>
  </sheetViews>
  <sheetFormatPr defaultColWidth="8.796875" defaultRowHeight="15"/>
  <cols>
    <col min="1" max="1" width="2.3984375" style="31" customWidth="1"/>
    <col min="2" max="2" width="31.09765625" style="31" customWidth="1"/>
    <col min="3" max="4" width="15.796875" style="31" customWidth="1"/>
    <col min="5" max="5" width="16.09765625" style="31" customWidth="1"/>
    <col min="6" max="16384" width="8.8984375" style="31" customWidth="1"/>
  </cols>
  <sheetData>
    <row r="1" spans="2:5" ht="15.75">
      <c r="B1" s="160">
        <f>(inputPrYr!C3)</f>
        <v>0</v>
      </c>
      <c r="C1" s="45"/>
      <c r="D1" s="45"/>
      <c r="E1" s="230">
        <f>inputPrYr!C5</f>
        <v>0</v>
      </c>
    </row>
    <row r="2" spans="2:5" ht="15.75">
      <c r="B2" s="169"/>
      <c r="C2" s="266"/>
      <c r="D2" s="266"/>
      <c r="E2" s="267"/>
    </row>
    <row r="3" spans="2:5" ht="15.75">
      <c r="B3" s="169" t="s">
        <v>163</v>
      </c>
      <c r="C3" s="110"/>
      <c r="D3" s="110"/>
      <c r="E3" s="110"/>
    </row>
    <row r="4" spans="2:5" ht="15.75">
      <c r="B4" s="44" t="s">
        <v>49</v>
      </c>
      <c r="C4" s="563" t="s">
        <v>811</v>
      </c>
      <c r="D4" s="564" t="s">
        <v>812</v>
      </c>
      <c r="E4" s="114" t="s">
        <v>813</v>
      </c>
    </row>
    <row r="5" spans="2:5" ht="15.75">
      <c r="B5" s="405">
        <f>inputPrYr!$B$45</f>
        <v>0</v>
      </c>
      <c r="C5" s="386" t="str">
        <f>CONCATENATE("Actual for ",E1-2,"")</f>
        <v>Actual for -2</v>
      </c>
      <c r="D5" s="386" t="str">
        <f>CONCATENATE("Estimate for ",E1-1,"")</f>
        <v>Estimate for -1</v>
      </c>
      <c r="E5" s="244" t="str">
        <f>CONCATENATE("Year for ",E1,"")</f>
        <v>Year for 0</v>
      </c>
    </row>
    <row r="6" spans="2:5" ht="15.75">
      <c r="B6" s="118" t="s">
        <v>194</v>
      </c>
      <c r="C6" s="66"/>
      <c r="D6" s="209">
        <f>C29</f>
        <v>0</v>
      </c>
      <c r="E6" s="209">
        <f>D29</f>
        <v>0</v>
      </c>
    </row>
    <row r="7" spans="2:5" ht="15.75">
      <c r="B7" s="140" t="s">
        <v>196</v>
      </c>
      <c r="C7" s="128"/>
      <c r="D7" s="128"/>
      <c r="E7" s="128"/>
    </row>
    <row r="8" spans="2:5" ht="15.75">
      <c r="B8" s="261"/>
      <c r="C8" s="66"/>
      <c r="D8" s="66"/>
      <c r="E8" s="66"/>
    </row>
    <row r="9" spans="2:5" ht="15.75">
      <c r="B9" s="261"/>
      <c r="C9" s="66"/>
      <c r="D9" s="66"/>
      <c r="E9" s="66"/>
    </row>
    <row r="10" spans="2:5" ht="15.75">
      <c r="B10" s="261"/>
      <c r="C10" s="66"/>
      <c r="D10" s="66"/>
      <c r="E10" s="66"/>
    </row>
    <row r="11" spans="2:5" ht="15.75">
      <c r="B11" s="249" t="s">
        <v>57</v>
      </c>
      <c r="C11" s="66"/>
      <c r="D11" s="66"/>
      <c r="E11" s="66"/>
    </row>
    <row r="12" spans="2:5" ht="15.75">
      <c r="B12" s="250" t="s">
        <v>298</v>
      </c>
      <c r="C12" s="66"/>
      <c r="D12" s="269"/>
      <c r="E12" s="269"/>
    </row>
    <row r="13" spans="2:5" ht="15.75">
      <c r="B13" s="250" t="s">
        <v>673</v>
      </c>
      <c r="C13" s="399">
        <f>IF(C14*0.1&lt;C12,"Exceed 10% Rule","")</f>
      </c>
      <c r="D13" s="251">
        <f>IF(D14*0.1&lt;D12,"Exceed 10% Rule","")</f>
      </c>
      <c r="E13" s="251">
        <f>IF(E14*0.1&lt;E12,"Exceed 10% Rule","")</f>
      </c>
    </row>
    <row r="14" spans="2:5" ht="15.75">
      <c r="B14" s="252" t="s">
        <v>58</v>
      </c>
      <c r="C14" s="296">
        <f>SUM(C8:C12)</f>
        <v>0</v>
      </c>
      <c r="D14" s="296">
        <f>SUM(D8:D12)</f>
        <v>0</v>
      </c>
      <c r="E14" s="296">
        <f>SUM(E8:E12)</f>
        <v>0</v>
      </c>
    </row>
    <row r="15" spans="2:5" ht="15.75">
      <c r="B15" s="252" t="s">
        <v>59</v>
      </c>
      <c r="C15" s="296">
        <f>C14+C6</f>
        <v>0</v>
      </c>
      <c r="D15" s="296">
        <f>D14+D6</f>
        <v>0</v>
      </c>
      <c r="E15" s="296">
        <f>E14+E6</f>
        <v>0</v>
      </c>
    </row>
    <row r="16" spans="2:5" ht="15.75">
      <c r="B16" s="118" t="s">
        <v>62</v>
      </c>
      <c r="C16" s="209"/>
      <c r="D16" s="209"/>
      <c r="E16" s="209"/>
    </row>
    <row r="17" spans="2:5" ht="15.75">
      <c r="B17" s="261"/>
      <c r="C17" s="66"/>
      <c r="D17" s="66"/>
      <c r="E17" s="66"/>
    </row>
    <row r="18" spans="2:5" ht="15.75">
      <c r="B18" s="261"/>
      <c r="C18" s="66"/>
      <c r="D18" s="66"/>
      <c r="E18" s="66"/>
    </row>
    <row r="19" spans="2:5" ht="15.75">
      <c r="B19" s="261"/>
      <c r="C19" s="66"/>
      <c r="D19" s="66"/>
      <c r="E19" s="66"/>
    </row>
    <row r="20" spans="2:5" ht="15.75">
      <c r="B20" s="261"/>
      <c r="C20" s="66"/>
      <c r="D20" s="66"/>
      <c r="E20" s="66"/>
    </row>
    <row r="21" spans="2:5" ht="15.75">
      <c r="B21" s="261"/>
      <c r="C21" s="66"/>
      <c r="D21" s="66"/>
      <c r="E21" s="66"/>
    </row>
    <row r="22" spans="2:5" ht="15.75">
      <c r="B22" s="261"/>
      <c r="C22" s="66"/>
      <c r="D22" s="66"/>
      <c r="E22" s="66"/>
    </row>
    <row r="23" spans="2:5" ht="15.75">
      <c r="B23" s="261"/>
      <c r="C23" s="66"/>
      <c r="D23" s="66"/>
      <c r="E23" s="66"/>
    </row>
    <row r="24" spans="2:5" ht="15.75">
      <c r="B24" s="261"/>
      <c r="C24" s="66"/>
      <c r="D24" s="66"/>
      <c r="E24" s="66"/>
    </row>
    <row r="25" spans="2:5" ht="15.75">
      <c r="B25" s="250" t="str">
        <f>CONCATENATE("Cash Forward (",E1," column)")</f>
        <v>Cash Forward (0 column)</v>
      </c>
      <c r="C25" s="66"/>
      <c r="D25" s="66"/>
      <c r="E25" s="66"/>
    </row>
    <row r="26" spans="2:5" ht="15.75">
      <c r="B26" s="250" t="s">
        <v>298</v>
      </c>
      <c r="C26" s="66"/>
      <c r="D26" s="269"/>
      <c r="E26" s="269"/>
    </row>
    <row r="27" spans="2:5" ht="15.75">
      <c r="B27" s="250" t="s">
        <v>674</v>
      </c>
      <c r="C27" s="399">
        <f>IF(C28*0.1&lt;C26,"Exceed 10% Rule","")</f>
      </c>
      <c r="D27" s="251">
        <f>IF(D28*0.1&lt;D26,"Exceed 10% Rule","")</f>
      </c>
      <c r="E27" s="251">
        <f>IF(E28*0.1&lt;E26,"Exceed 10% Rule","")</f>
      </c>
    </row>
    <row r="28" spans="2:5" ht="15.75">
      <c r="B28" s="252" t="s">
        <v>63</v>
      </c>
      <c r="C28" s="296">
        <f>SUM(C17:C26)</f>
        <v>0</v>
      </c>
      <c r="D28" s="296">
        <f>SUM(D17:D26)</f>
        <v>0</v>
      </c>
      <c r="E28" s="296">
        <f>SUM(E17:E26)</f>
        <v>0</v>
      </c>
    </row>
    <row r="29" spans="2:5" ht="15.75">
      <c r="B29" s="118" t="s">
        <v>195</v>
      </c>
      <c r="C29" s="70">
        <f>C15-C28</f>
        <v>0</v>
      </c>
      <c r="D29" s="70">
        <f>D15-D28</f>
        <v>0</v>
      </c>
      <c r="E29" s="70">
        <f>E15-E28</f>
        <v>0</v>
      </c>
    </row>
    <row r="30" spans="2:5" ht="15.75">
      <c r="B30" s="146" t="str">
        <f>CONCATENATE("",E1-2,"/",E1-1,"/",E1," Budget Authority Amount:")</f>
        <v>-2/-1/0 Budget Authority Amount:</v>
      </c>
      <c r="C30" s="272">
        <f>inputOth!B56</f>
        <v>0</v>
      </c>
      <c r="D30" s="272">
        <f>inputPrYr!D45</f>
        <v>0</v>
      </c>
      <c r="E30" s="638">
        <f>E28</f>
        <v>0</v>
      </c>
    </row>
    <row r="31" spans="2:5" ht="15.75">
      <c r="B31" s="231"/>
      <c r="C31" s="264">
        <f>IF(C28&gt;C30,"See Tab A","")</f>
      </c>
      <c r="D31" s="264">
        <f>IF(D28&gt;D30,"See Tab C","")</f>
      </c>
      <c r="E31" s="639">
        <f>IF($E$29&lt;0,"See Tab E","")</f>
      </c>
    </row>
    <row r="32" spans="2:5" ht="15.75">
      <c r="B32" s="231"/>
      <c r="C32" s="264">
        <f>IF(C29&lt;0,"See Tab B","")</f>
      </c>
      <c r="D32" s="264">
        <f>IF(D29&lt;0,"See Tab D","")</f>
      </c>
      <c r="E32" s="92"/>
    </row>
    <row r="33" spans="2:5" ht="15.75">
      <c r="B33" s="45"/>
      <c r="C33" s="92"/>
      <c r="D33" s="92"/>
      <c r="E33" s="92"/>
    </row>
    <row r="34" spans="2:5" ht="15.75">
      <c r="B34" s="44"/>
      <c r="C34" s="110"/>
      <c r="D34" s="110"/>
      <c r="E34" s="110"/>
    </row>
    <row r="35" spans="2:5" ht="15.75">
      <c r="B35" s="44" t="s">
        <v>49</v>
      </c>
      <c r="C35" s="283" t="str">
        <f aca="true" t="shared" si="0" ref="C35:E36">C4</f>
        <v>Prior Year </v>
      </c>
      <c r="D35" s="114" t="str">
        <f t="shared" si="0"/>
        <v>Current Year </v>
      </c>
      <c r="E35" s="114" t="str">
        <f t="shared" si="0"/>
        <v>Proposed Budget </v>
      </c>
    </row>
    <row r="36" spans="2:5" ht="15.75">
      <c r="B36" s="405">
        <f>inputPrYr!$B$46</f>
        <v>0</v>
      </c>
      <c r="C36" s="256" t="str">
        <f t="shared" si="0"/>
        <v>Actual for -2</v>
      </c>
      <c r="D36" s="256" t="str">
        <f t="shared" si="0"/>
        <v>Estimate for -1</v>
      </c>
      <c r="E36" s="256" t="str">
        <f t="shared" si="0"/>
        <v>Year for 0</v>
      </c>
    </row>
    <row r="37" spans="2:5" ht="15.75">
      <c r="B37" s="118" t="s">
        <v>194</v>
      </c>
      <c r="C37" s="66"/>
      <c r="D37" s="209">
        <f>C60</f>
        <v>0</v>
      </c>
      <c r="E37" s="209">
        <f>D60</f>
        <v>0</v>
      </c>
    </row>
    <row r="38" spans="2:5" ht="15.75">
      <c r="B38" s="118" t="s">
        <v>196</v>
      </c>
      <c r="C38" s="128"/>
      <c r="D38" s="128"/>
      <c r="E38" s="128"/>
    </row>
    <row r="39" spans="2:5" ht="15.75">
      <c r="B39" s="261"/>
      <c r="C39" s="66"/>
      <c r="D39" s="66"/>
      <c r="E39" s="66"/>
    </row>
    <row r="40" spans="2:5" ht="15.75">
      <c r="B40" s="261"/>
      <c r="C40" s="66"/>
      <c r="D40" s="66"/>
      <c r="E40" s="66"/>
    </row>
    <row r="41" spans="2:5" ht="15.75">
      <c r="B41" s="261"/>
      <c r="C41" s="66"/>
      <c r="D41" s="66"/>
      <c r="E41" s="66"/>
    </row>
    <row r="42" spans="2:5" ht="15.75">
      <c r="B42" s="249" t="s">
        <v>57</v>
      </c>
      <c r="C42" s="66"/>
      <c r="D42" s="66"/>
      <c r="E42" s="66"/>
    </row>
    <row r="43" spans="2:5" ht="15.75">
      <c r="B43" s="250" t="s">
        <v>298</v>
      </c>
      <c r="C43" s="66"/>
      <c r="D43" s="269"/>
      <c r="E43" s="269"/>
    </row>
    <row r="44" spans="2:5" ht="15.75">
      <c r="B44" s="250" t="s">
        <v>673</v>
      </c>
      <c r="C44" s="399">
        <f>IF(C45*0.1&lt;C43,"Exceed 10% Rule","")</f>
      </c>
      <c r="D44" s="251">
        <f>IF(D45*0.1&lt;D43,"Exceed 10% Rule","")</f>
      </c>
      <c r="E44" s="251">
        <f>IF(E45*0.1&lt;E43,"Exceed 10% Rule","")</f>
      </c>
    </row>
    <row r="45" spans="2:5" ht="15.75">
      <c r="B45" s="252" t="s">
        <v>58</v>
      </c>
      <c r="C45" s="296">
        <f>SUM(C39:C43)</f>
        <v>0</v>
      </c>
      <c r="D45" s="296">
        <f>SUM(D39:D43)</f>
        <v>0</v>
      </c>
      <c r="E45" s="296">
        <f>SUM(E39:E43)</f>
        <v>0</v>
      </c>
    </row>
    <row r="46" spans="2:5" ht="15.75">
      <c r="B46" s="252" t="s">
        <v>59</v>
      </c>
      <c r="C46" s="296">
        <f>C37+C45</f>
        <v>0</v>
      </c>
      <c r="D46" s="296">
        <f>D37+D45</f>
        <v>0</v>
      </c>
      <c r="E46" s="296">
        <f>E37+E45</f>
        <v>0</v>
      </c>
    </row>
    <row r="47" spans="2:5" ht="15.75">
      <c r="B47" s="118" t="s">
        <v>62</v>
      </c>
      <c r="C47" s="209"/>
      <c r="D47" s="209"/>
      <c r="E47" s="209"/>
    </row>
    <row r="48" spans="2:5" ht="15.75">
      <c r="B48" s="261"/>
      <c r="C48" s="66"/>
      <c r="D48" s="66"/>
      <c r="E48" s="66"/>
    </row>
    <row r="49" spans="2:5" ht="15.75">
      <c r="B49" s="261"/>
      <c r="C49" s="66"/>
      <c r="D49" s="66"/>
      <c r="E49" s="66"/>
    </row>
    <row r="50" spans="2:5" ht="15.75">
      <c r="B50" s="261"/>
      <c r="C50" s="66"/>
      <c r="D50" s="66"/>
      <c r="E50" s="66"/>
    </row>
    <row r="51" spans="2:5" ht="15.75">
      <c r="B51" s="261"/>
      <c r="C51" s="66"/>
      <c r="D51" s="66"/>
      <c r="E51" s="66"/>
    </row>
    <row r="52" spans="2:5" ht="15.75">
      <c r="B52" s="261"/>
      <c r="C52" s="66"/>
      <c r="D52" s="66"/>
      <c r="E52" s="66"/>
    </row>
    <row r="53" spans="2:5" ht="15.75">
      <c r="B53" s="261"/>
      <c r="C53" s="66"/>
      <c r="D53" s="66"/>
      <c r="E53" s="66"/>
    </row>
    <row r="54" spans="2:5" ht="15.75">
      <c r="B54" s="261"/>
      <c r="C54" s="66"/>
      <c r="D54" s="66"/>
      <c r="E54" s="66"/>
    </row>
    <row r="55" spans="2:5" ht="15.75">
      <c r="B55" s="261"/>
      <c r="C55" s="66"/>
      <c r="D55" s="66"/>
      <c r="E55" s="66"/>
    </row>
    <row r="56" spans="2:5" ht="15.75">
      <c r="B56" s="250" t="str">
        <f>CONCATENATE("Cash Forward (",E1," column)")</f>
        <v>Cash Forward (0 column)</v>
      </c>
      <c r="C56" s="66"/>
      <c r="D56" s="66"/>
      <c r="E56" s="66"/>
    </row>
    <row r="57" spans="2:5" ht="15.75">
      <c r="B57" s="250" t="s">
        <v>298</v>
      </c>
      <c r="C57" s="66"/>
      <c r="D57" s="269"/>
      <c r="E57" s="269"/>
    </row>
    <row r="58" spans="2:5" ht="15.75">
      <c r="B58" s="250" t="s">
        <v>674</v>
      </c>
      <c r="C58" s="399">
        <f>IF(C59*0.1&lt;C57,"Exceed 10% Rule","")</f>
      </c>
      <c r="D58" s="251">
        <f>IF(D59*0.1&lt;D57,"Exceed 10% Rule","")</f>
      </c>
      <c r="E58" s="251">
        <f>IF(E59*0.1&lt;E57,"Exceed 10% Rule","")</f>
      </c>
    </row>
    <row r="59" spans="2:5" ht="15.75">
      <c r="B59" s="252" t="s">
        <v>63</v>
      </c>
      <c r="C59" s="296">
        <f>SUM(C48:C57)</f>
        <v>0</v>
      </c>
      <c r="D59" s="296">
        <f>SUM(D48:D57)</f>
        <v>0</v>
      </c>
      <c r="E59" s="296">
        <f>SUM(E48:E57)</f>
        <v>0</v>
      </c>
    </row>
    <row r="60" spans="2:5" ht="15.75">
      <c r="B60" s="118" t="s">
        <v>195</v>
      </c>
      <c r="C60" s="70">
        <f>C46-C59</f>
        <v>0</v>
      </c>
      <c r="D60" s="70">
        <f>D46-D59</f>
        <v>0</v>
      </c>
      <c r="E60" s="70">
        <f>E46-E59</f>
        <v>0</v>
      </c>
    </row>
    <row r="61" spans="2:5" ht="15.75">
      <c r="B61" s="146" t="str">
        <f>CONCATENATE("",E1-2,"/",E1-1,"/",E1," Budget Authority Amount:")</f>
        <v>-2/-1/0 Budget Authority Amount:</v>
      </c>
      <c r="C61" s="272">
        <f>inputOth!B57</f>
        <v>0</v>
      </c>
      <c r="D61" s="272">
        <f>inputPrYr!D46</f>
        <v>0</v>
      </c>
      <c r="E61" s="638">
        <f>E59</f>
        <v>0</v>
      </c>
    </row>
    <row r="62" spans="2:5" ht="15.75">
      <c r="B62" s="231"/>
      <c r="C62" s="264">
        <f>IF(C59&gt;C61,"See Tab A","")</f>
      </c>
      <c r="D62" s="264">
        <f>IF(D59&gt;D61,"See Tab C","")</f>
      </c>
      <c r="E62" s="640">
        <f>IF($E$60&lt;0,"See Tab E","")</f>
      </c>
    </row>
    <row r="63" spans="2:5" ht="15.75">
      <c r="B63" s="231"/>
      <c r="C63" s="264">
        <f>IF(C60&lt;0,"See Tab B","")</f>
      </c>
      <c r="D63" s="264">
        <f>IF(D60&lt;0,"See Tab D","")</f>
      </c>
      <c r="E63" s="45"/>
    </row>
    <row r="64" spans="2:5" ht="15.75">
      <c r="B64" s="45"/>
      <c r="C64" s="45"/>
      <c r="D64" s="45"/>
      <c r="E64" s="45"/>
    </row>
    <row r="65" spans="2:5" ht="15.75">
      <c r="B65" s="265" t="s">
        <v>115</v>
      </c>
      <c r="C65" s="709"/>
      <c r="D65" s="45"/>
      <c r="E65" s="45"/>
    </row>
  </sheetData>
  <sheetProtection sheet="1"/>
  <conditionalFormatting sqref="C43">
    <cfRule type="cellIs" priority="5" dxfId="351" operator="greaterThan" stopIfTrue="1">
      <formula>$C$45*0.1</formula>
    </cfRule>
  </conditionalFormatting>
  <conditionalFormatting sqref="D43">
    <cfRule type="cellIs" priority="6" dxfId="351" operator="greaterThan" stopIfTrue="1">
      <formula>$D$45*0.1</formula>
    </cfRule>
  </conditionalFormatting>
  <conditionalFormatting sqref="E43">
    <cfRule type="cellIs" priority="7" dxfId="351" operator="greaterThan" stopIfTrue="1">
      <formula>$E$45*0.1</formula>
    </cfRule>
  </conditionalFormatting>
  <conditionalFormatting sqref="C57">
    <cfRule type="cellIs" priority="8" dxfId="351" operator="greaterThan" stopIfTrue="1">
      <formula>$C$59*0.1</formula>
    </cfRule>
  </conditionalFormatting>
  <conditionalFormatting sqref="D57">
    <cfRule type="cellIs" priority="9" dxfId="351" operator="greaterThan" stopIfTrue="1">
      <formula>$D$59*0.1</formula>
    </cfRule>
  </conditionalFormatting>
  <conditionalFormatting sqref="E57">
    <cfRule type="cellIs" priority="10" dxfId="351" operator="greaterThan" stopIfTrue="1">
      <formula>$E$59*0.1</formula>
    </cfRule>
  </conditionalFormatting>
  <conditionalFormatting sqref="C26">
    <cfRule type="cellIs" priority="11" dxfId="351" operator="greaterThan" stopIfTrue="1">
      <formula>$C$28*0.1</formula>
    </cfRule>
  </conditionalFormatting>
  <conditionalFormatting sqref="D26">
    <cfRule type="cellIs" priority="12" dxfId="351" operator="greaterThan" stopIfTrue="1">
      <formula>$D$28*0.1</formula>
    </cfRule>
  </conditionalFormatting>
  <conditionalFormatting sqref="E26">
    <cfRule type="cellIs" priority="13" dxfId="351" operator="greaterThan" stopIfTrue="1">
      <formula>$E$28*0.1</formula>
    </cfRule>
  </conditionalFormatting>
  <conditionalFormatting sqref="C12">
    <cfRule type="cellIs" priority="14" dxfId="351" operator="greaterThan" stopIfTrue="1">
      <formula>$C$14*0.1</formula>
    </cfRule>
  </conditionalFormatting>
  <conditionalFormatting sqref="D12">
    <cfRule type="cellIs" priority="15" dxfId="351" operator="greaterThan" stopIfTrue="1">
      <formula>$D$14*0.1</formula>
    </cfRule>
  </conditionalFormatting>
  <conditionalFormatting sqref="E12">
    <cfRule type="cellIs" priority="16" dxfId="351" operator="greaterThan" stopIfTrue="1">
      <formula>$E$14*0.1</formula>
    </cfRule>
  </conditionalFormatting>
  <conditionalFormatting sqref="E60 E29 C60 C29">
    <cfRule type="cellIs" priority="17" dxfId="2" operator="lessThan" stopIfTrue="1">
      <formula>0</formula>
    </cfRule>
  </conditionalFormatting>
  <conditionalFormatting sqref="D59">
    <cfRule type="cellIs" priority="18" dxfId="2" operator="greaterThan" stopIfTrue="1">
      <formula>$D$61</formula>
    </cfRule>
  </conditionalFormatting>
  <conditionalFormatting sqref="C59">
    <cfRule type="cellIs" priority="19" dxfId="2" operator="greaterThan" stopIfTrue="1">
      <formula>$C$61</formula>
    </cfRule>
  </conditionalFormatting>
  <conditionalFormatting sqref="C28">
    <cfRule type="cellIs" priority="20" dxfId="2" operator="greaterThan" stopIfTrue="1">
      <formula>$C$30</formula>
    </cfRule>
  </conditionalFormatting>
  <conditionalFormatting sqref="D28">
    <cfRule type="cellIs" priority="21" dxfId="2" operator="greaterThan" stopIfTrue="1">
      <formula>$D$30</formula>
    </cfRule>
  </conditionalFormatting>
  <conditionalFormatting sqref="D29">
    <cfRule type="cellIs" priority="3" dxfId="0" operator="lessThan" stopIfTrue="1">
      <formula>0</formula>
    </cfRule>
    <cfRule type="cellIs" priority="4" dxfId="0" operator="lessThan" stopIfTrue="1">
      <formula>0</formula>
    </cfRule>
  </conditionalFormatting>
  <conditionalFormatting sqref="D60">
    <cfRule type="cellIs" priority="1" dxfId="0" operator="lessThan" stopIfTrue="1">
      <formula>0</formula>
    </cfRule>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76" r:id="rId1"/>
  <headerFooter alignWithMargins="0">
    <oddHeader>&amp;RState of Kansas
County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A1">
      <selection activeCell="AF5" sqref="AF5"/>
    </sheetView>
  </sheetViews>
  <sheetFormatPr defaultColWidth="8.796875" defaultRowHeight="15"/>
  <cols>
    <col min="1" max="1" width="15.796875" style="26" customWidth="1"/>
    <col min="2" max="2" width="20.796875" style="26" customWidth="1"/>
    <col min="3" max="3" width="9.796875" style="26" customWidth="1"/>
    <col min="4" max="4" width="15.296875" style="26" customWidth="1"/>
    <col min="5" max="5" width="15.796875" style="26" customWidth="1"/>
    <col min="6" max="16384" width="8.8984375" style="26" customWidth="1"/>
  </cols>
  <sheetData>
    <row r="1" spans="1:5" ht="15.75">
      <c r="A1" s="90">
        <f>inputPrYr!C3</f>
        <v>0</v>
      </c>
      <c r="B1" s="91"/>
      <c r="C1" s="91"/>
      <c r="D1" s="91"/>
      <c r="E1" s="80">
        <f>inputPrYr!C5</f>
        <v>0</v>
      </c>
    </row>
    <row r="2" spans="1:5" ht="15">
      <c r="A2" s="91"/>
      <c r="B2" s="91"/>
      <c r="C2" s="91"/>
      <c r="D2" s="91"/>
      <c r="E2" s="91"/>
    </row>
    <row r="3" spans="1:5" ht="15.75">
      <c r="A3" s="45"/>
      <c r="B3" s="45"/>
      <c r="C3" s="45"/>
      <c r="D3" s="45"/>
      <c r="E3" s="92"/>
    </row>
    <row r="4" spans="1:5" ht="15.75">
      <c r="A4" s="708" t="str">
        <f>CONCATENATE("From the County Clerk's ",E1," Budget Information:")</f>
        <v>From the County Clerk's 0 Budget Information:</v>
      </c>
      <c r="B4" s="87"/>
      <c r="C4" s="701"/>
      <c r="D4" s="45"/>
      <c r="E4" s="92"/>
    </row>
    <row r="5" spans="1:5" ht="15.75">
      <c r="A5" s="93" t="str">
        <f>CONCATENATE("Total Assessed Valuation for ",E1-1,"")</f>
        <v>Total Assessed Valuation for -1</v>
      </c>
      <c r="B5" s="69"/>
      <c r="C5" s="69"/>
      <c r="D5" s="69"/>
      <c r="E5" s="66"/>
    </row>
    <row r="6" spans="1:5" ht="15.75">
      <c r="A6" s="93" t="str">
        <f>CONCATENATE("New Improvements for ",E1-1,"")</f>
        <v>New Improvements for -1</v>
      </c>
      <c r="B6" s="69"/>
      <c r="C6" s="69"/>
      <c r="D6" s="69"/>
      <c r="E6" s="94"/>
    </row>
    <row r="7" spans="1:5" ht="15.75">
      <c r="A7" s="93" t="str">
        <f>CONCATENATE("Personal Property - ",E1-1,"")</f>
        <v>Personal Property - -1</v>
      </c>
      <c r="B7" s="69"/>
      <c r="C7" s="69"/>
      <c r="D7" s="69"/>
      <c r="E7" s="94"/>
    </row>
    <row r="8" spans="1:5" ht="15.75">
      <c r="A8" s="93" t="str">
        <f>CONCATENATE("Property that has changed in use for ",E1-1,"")</f>
        <v>Property that has changed in use for -1</v>
      </c>
      <c r="B8" s="69"/>
      <c r="C8" s="69"/>
      <c r="D8" s="69"/>
      <c r="E8" s="94"/>
    </row>
    <row r="9" spans="1:5" ht="15.75">
      <c r="A9" s="93" t="str">
        <f>CONCATENATE("Personal Property  - ",E1-2,"")</f>
        <v>Personal Property  - -2</v>
      </c>
      <c r="B9" s="69"/>
      <c r="C9" s="69"/>
      <c r="D9" s="69"/>
      <c r="E9" s="94"/>
    </row>
    <row r="10" spans="1:5" ht="15.75">
      <c r="A10" s="93" t="str">
        <f>CONCATENATE("Gross earnings (intangible) tax estimate for ",E1,"")</f>
        <v>Gross earnings (intangible) tax estimate for 0</v>
      </c>
      <c r="B10" s="69"/>
      <c r="C10" s="69"/>
      <c r="D10" s="69"/>
      <c r="E10" s="66"/>
    </row>
    <row r="11" spans="1:5" ht="15.75">
      <c r="A11" s="93" t="s">
        <v>232</v>
      </c>
      <c r="B11" s="69"/>
      <c r="C11" s="69"/>
      <c r="D11" s="69"/>
      <c r="E11" s="66"/>
    </row>
    <row r="12" spans="1:5" ht="15.75">
      <c r="A12" s="45"/>
      <c r="B12" s="45"/>
      <c r="C12" s="45"/>
      <c r="D12" s="57"/>
      <c r="E12" s="57"/>
    </row>
    <row r="13" spans="1:5" ht="15.75">
      <c r="A13" s="708" t="str">
        <f>CONCATENATE("From the County Treasurer's ",E1," Budget Information:")</f>
        <v>From the County Treasurer's 0 Budget Information:</v>
      </c>
      <c r="B13" s="87"/>
      <c r="C13" s="707"/>
      <c r="D13" s="92"/>
      <c r="E13" s="92"/>
    </row>
    <row r="14" spans="1:5" ht="15.75">
      <c r="A14" s="67" t="s">
        <v>20</v>
      </c>
      <c r="B14" s="68"/>
      <c r="C14" s="68"/>
      <c r="D14" s="95"/>
      <c r="E14" s="727"/>
    </row>
    <row r="15" spans="1:5" ht="15.75">
      <c r="A15" s="93" t="s">
        <v>21</v>
      </c>
      <c r="B15" s="69"/>
      <c r="C15" s="69"/>
      <c r="D15" s="96"/>
      <c r="E15" s="727"/>
    </row>
    <row r="16" spans="1:5" ht="15.75">
      <c r="A16" s="93" t="s">
        <v>166</v>
      </c>
      <c r="B16" s="69"/>
      <c r="C16" s="69"/>
      <c r="D16" s="96"/>
      <c r="E16" s="727"/>
    </row>
    <row r="17" spans="1:5" ht="15.75">
      <c r="A17" s="735" t="s">
        <v>953</v>
      </c>
      <c r="B17" s="69"/>
      <c r="C17" s="69"/>
      <c r="D17" s="97"/>
      <c r="E17" s="727"/>
    </row>
    <row r="18" spans="1:5" ht="15.75">
      <c r="A18" s="735" t="s">
        <v>954</v>
      </c>
      <c r="B18" s="69"/>
      <c r="C18" s="69"/>
      <c r="D18" s="97"/>
      <c r="E18" s="727"/>
    </row>
    <row r="19" spans="1:5" ht="15.75">
      <c r="A19" s="93" t="s">
        <v>233</v>
      </c>
      <c r="B19" s="69"/>
      <c r="C19" s="69"/>
      <c r="D19" s="97"/>
      <c r="E19" s="66"/>
    </row>
    <row r="20" spans="1:5" ht="15.75">
      <c r="A20" s="93" t="s">
        <v>234</v>
      </c>
      <c r="B20" s="69"/>
      <c r="C20" s="69"/>
      <c r="D20" s="97"/>
      <c r="E20" s="66"/>
    </row>
    <row r="21" spans="1:5" ht="15.75">
      <c r="A21" s="45"/>
      <c r="B21" s="45"/>
      <c r="C21" s="45"/>
      <c r="D21" s="45"/>
      <c r="E21" s="45"/>
    </row>
    <row r="22" spans="1:5" ht="15.75">
      <c r="A22" s="98" t="s">
        <v>235</v>
      </c>
      <c r="B22" s="52"/>
      <c r="C22" s="52"/>
      <c r="D22" s="45"/>
      <c r="E22" s="45"/>
    </row>
    <row r="23" spans="1:5" ht="15.75">
      <c r="A23" s="50" t="str">
        <f>CONCATENATE("Actual Delinquency for ",E1-3," Tax - (e.g. rate .01213 = 1.213%;  key in 1.2)")</f>
        <v>Actual Delinquency for -3 Tax - (e.g. rate .01213 = 1.213%;  key in 1.2)</v>
      </c>
      <c r="B23" s="46"/>
      <c r="C23" s="46"/>
      <c r="D23" s="46"/>
      <c r="E23" s="45"/>
    </row>
    <row r="24" spans="1:5" ht="15.75">
      <c r="A24" s="67" t="s">
        <v>836</v>
      </c>
      <c r="B24" s="50"/>
      <c r="C24" s="46"/>
      <c r="D24" s="46"/>
      <c r="E24" s="623">
        <v>0</v>
      </c>
    </row>
    <row r="25" spans="1:5" ht="15.75">
      <c r="A25" s="99" t="s">
        <v>236</v>
      </c>
      <c r="B25" s="99"/>
      <c r="C25" s="100"/>
      <c r="D25" s="100"/>
      <c r="E25" s="101"/>
    </row>
    <row r="26" spans="1:5" ht="15">
      <c r="A26" s="91"/>
      <c r="B26" s="91"/>
      <c r="C26" s="91"/>
      <c r="D26" s="91"/>
      <c r="E26" s="91"/>
    </row>
    <row r="27" spans="1:5" ht="15.75">
      <c r="A27" s="814" t="str">
        <f>CONCATENATE("From the ",E1-2," Budget Certificate Page")</f>
        <v>From the -2 Budget Certificate Page</v>
      </c>
      <c r="B27" s="815"/>
      <c r="C27" s="91"/>
      <c r="D27" s="91"/>
      <c r="E27" s="91"/>
    </row>
    <row r="28" spans="1:5" ht="15.75">
      <c r="A28" s="102"/>
      <c r="B28" s="816" t="str">
        <f>CONCATENATE("",E1-2,"                         Expenditure Amt Budget Authority")</f>
        <v>-2                         Expenditure Amt Budget Authority</v>
      </c>
      <c r="C28" s="819" t="str">
        <f>CONCATENATE("Note: If the ",E1-2," budget was amended, then the")</f>
        <v>Note: If the -2 budget was amended, then the</v>
      </c>
      <c r="D28" s="820"/>
      <c r="E28" s="820"/>
    </row>
    <row r="29" spans="1:5" ht="15.75">
      <c r="A29" s="103" t="s">
        <v>291</v>
      </c>
      <c r="B29" s="817"/>
      <c r="C29" s="104" t="s">
        <v>292</v>
      </c>
      <c r="D29" s="105"/>
      <c r="E29" s="105"/>
    </row>
    <row r="30" spans="1:5" ht="15.75">
      <c r="A30" s="106"/>
      <c r="B30" s="818"/>
      <c r="C30" s="104" t="s">
        <v>293</v>
      </c>
      <c r="D30" s="105"/>
      <c r="E30" s="105"/>
    </row>
    <row r="31" spans="1:5" ht="15.75">
      <c r="A31" s="107" t="str">
        <f>inputPrYr!B17</f>
        <v>General</v>
      </c>
      <c r="B31" s="108"/>
      <c r="C31" s="104"/>
      <c r="D31" s="105"/>
      <c r="E31" s="105"/>
    </row>
    <row r="32" spans="1:5" ht="15.75">
      <c r="A32" s="107" t="str">
        <f>inputPrYr!B18</f>
        <v>Debt Service</v>
      </c>
      <c r="B32" s="61"/>
      <c r="C32" s="104"/>
      <c r="D32" s="105"/>
      <c r="E32" s="105"/>
    </row>
    <row r="33" spans="1:5" ht="15.75">
      <c r="A33" s="107" t="str">
        <f>inputPrYr!B19</f>
        <v>Road &amp; Bridge</v>
      </c>
      <c r="B33" s="61"/>
      <c r="C33" s="91"/>
      <c r="D33" s="91"/>
      <c r="E33" s="91"/>
    </row>
    <row r="34" spans="1:5" ht="15.75">
      <c r="A34" s="107">
        <f>inputPrYr!B20</f>
        <v>0</v>
      </c>
      <c r="B34" s="61"/>
      <c r="C34" s="91"/>
      <c r="D34" s="91"/>
      <c r="E34" s="91"/>
    </row>
    <row r="35" spans="1:5" ht="15.75">
      <c r="A35" s="107">
        <f>inputPrYr!B21</f>
        <v>0</v>
      </c>
      <c r="B35" s="61"/>
      <c r="C35" s="91"/>
      <c r="D35" s="91"/>
      <c r="E35" s="91"/>
    </row>
    <row r="36" spans="1:5" ht="15.75">
      <c r="A36" s="107">
        <f>inputPrYr!B22</f>
        <v>0</v>
      </c>
      <c r="B36" s="61"/>
      <c r="C36" s="91"/>
      <c r="D36" s="91"/>
      <c r="E36" s="91"/>
    </row>
    <row r="37" spans="1:5" ht="15.75">
      <c r="A37" s="107">
        <f>inputPrYr!B23</f>
        <v>0</v>
      </c>
      <c r="B37" s="61"/>
      <c r="C37" s="91"/>
      <c r="D37" s="91"/>
      <c r="E37" s="91"/>
    </row>
    <row r="38" spans="1:5" ht="15.75">
      <c r="A38" s="107">
        <f>inputPrYr!B24</f>
        <v>0</v>
      </c>
      <c r="B38" s="61"/>
      <c r="C38" s="91"/>
      <c r="D38" s="91"/>
      <c r="E38" s="91"/>
    </row>
    <row r="39" spans="1:5" ht="15.75">
      <c r="A39" s="107">
        <f>inputPrYr!B25</f>
        <v>0</v>
      </c>
      <c r="B39" s="61"/>
      <c r="C39" s="91"/>
      <c r="D39" s="91"/>
      <c r="E39" s="91"/>
    </row>
    <row r="40" spans="1:5" ht="15.75">
      <c r="A40" s="107">
        <f>inputPrYr!B26</f>
        <v>0</v>
      </c>
      <c r="B40" s="61"/>
      <c r="C40" s="91"/>
      <c r="D40" s="91"/>
      <c r="E40" s="91"/>
    </row>
    <row r="41" spans="1:5" ht="15.75">
      <c r="A41" s="107">
        <f>inputPrYr!B27</f>
        <v>0</v>
      </c>
      <c r="B41" s="61"/>
      <c r="C41" s="91"/>
      <c r="D41" s="91"/>
      <c r="E41" s="91"/>
    </row>
    <row r="42" spans="1:5" ht="15.75">
      <c r="A42" s="107">
        <f>inputPrYr!B28</f>
        <v>0</v>
      </c>
      <c r="B42" s="61"/>
      <c r="C42" s="91"/>
      <c r="D42" s="91"/>
      <c r="E42" s="91"/>
    </row>
    <row r="43" spans="1:5" ht="15.75">
      <c r="A43" s="107">
        <f>inputPrYr!B29</f>
        <v>0</v>
      </c>
      <c r="B43" s="61"/>
      <c r="C43" s="91"/>
      <c r="D43" s="91"/>
      <c r="E43" s="91"/>
    </row>
    <row r="44" spans="1:5" ht="15.75">
      <c r="A44" s="107">
        <f>inputPrYr!B30</f>
        <v>0</v>
      </c>
      <c r="B44" s="61"/>
      <c r="C44" s="91"/>
      <c r="D44" s="91"/>
      <c r="E44" s="91"/>
    </row>
    <row r="45" spans="1:5" ht="15.75">
      <c r="A45" s="107">
        <f>inputPrYr!B31</f>
        <v>0</v>
      </c>
      <c r="B45" s="61"/>
      <c r="C45" s="91"/>
      <c r="D45" s="91"/>
      <c r="E45" s="91"/>
    </row>
    <row r="46" spans="1:5" ht="15.75">
      <c r="A46" s="107">
        <f>inputPrYr!B32</f>
        <v>0</v>
      </c>
      <c r="B46" s="61"/>
      <c r="C46" s="91"/>
      <c r="D46" s="91"/>
      <c r="E46" s="91"/>
    </row>
    <row r="47" spans="1:5" ht="15.75">
      <c r="A47" s="107">
        <f>inputPrYr!B33</f>
        <v>0</v>
      </c>
      <c r="B47" s="61"/>
      <c r="C47" s="91"/>
      <c r="D47" s="91"/>
      <c r="E47" s="91"/>
    </row>
    <row r="48" spans="1:5" ht="15.75">
      <c r="A48" s="107">
        <f>inputPrYr!B34</f>
        <v>0</v>
      </c>
      <c r="B48" s="61"/>
      <c r="C48" s="91"/>
      <c r="D48" s="91"/>
      <c r="E48" s="91"/>
    </row>
    <row r="49" spans="1:5" ht="15.75">
      <c r="A49" s="107">
        <f>inputPrYr!B35</f>
        <v>0</v>
      </c>
      <c r="B49" s="61"/>
      <c r="C49" s="91"/>
      <c r="D49" s="91"/>
      <c r="E49" s="91"/>
    </row>
    <row r="50" spans="1:5" ht="15.75">
      <c r="A50" s="107">
        <f>inputPrYr!B36</f>
        <v>0</v>
      </c>
      <c r="B50" s="61"/>
      <c r="C50" s="91"/>
      <c r="D50" s="91"/>
      <c r="E50" s="91"/>
    </row>
    <row r="51" spans="1:5" ht="15.75">
      <c r="A51" s="107">
        <f>inputPrYr!B37</f>
        <v>0</v>
      </c>
      <c r="B51" s="61"/>
      <c r="C51" s="91"/>
      <c r="D51" s="91"/>
      <c r="E51" s="91"/>
    </row>
    <row r="52" spans="1:5" ht="15.75">
      <c r="A52" s="107">
        <f>inputPrYr!B38</f>
        <v>0</v>
      </c>
      <c r="B52" s="61"/>
      <c r="C52" s="91"/>
      <c r="D52" s="91"/>
      <c r="E52" s="91"/>
    </row>
    <row r="53" spans="1:5" ht="15.75">
      <c r="A53" s="107">
        <f>inputPrYr!B39</f>
        <v>0</v>
      </c>
      <c r="B53" s="61"/>
      <c r="C53" s="91"/>
      <c r="D53" s="91"/>
      <c r="E53" s="91"/>
    </row>
    <row r="54" spans="1:5" ht="15.75">
      <c r="A54" s="107">
        <f>inputPrYr!B40</f>
        <v>0</v>
      </c>
      <c r="B54" s="61"/>
      <c r="C54" s="91"/>
      <c r="D54" s="91"/>
      <c r="E54" s="91"/>
    </row>
    <row r="55" spans="1:5" ht="15.75">
      <c r="A55" s="107">
        <f>inputPrYr!B41</f>
        <v>0</v>
      </c>
      <c r="B55" s="61"/>
      <c r="C55" s="91"/>
      <c r="D55" s="91"/>
      <c r="E55" s="91"/>
    </row>
    <row r="56" spans="1:5" ht="15.75">
      <c r="A56" s="107">
        <f>inputPrYr!B45</f>
        <v>0</v>
      </c>
      <c r="B56" s="61"/>
      <c r="C56" s="91"/>
      <c r="D56" s="91"/>
      <c r="E56" s="91"/>
    </row>
    <row r="57" spans="1:5" ht="15.75">
      <c r="A57" s="107">
        <f>inputPrYr!B46</f>
        <v>0</v>
      </c>
      <c r="B57" s="61"/>
      <c r="C57" s="91"/>
      <c r="D57" s="91"/>
      <c r="E57" s="91"/>
    </row>
    <row r="58" spans="1:5" ht="15.75">
      <c r="A58" s="107">
        <f>inputPrYr!B47</f>
        <v>0</v>
      </c>
      <c r="B58" s="61"/>
      <c r="C58" s="91"/>
      <c r="D58" s="91"/>
      <c r="E58" s="91"/>
    </row>
    <row r="59" spans="1:5" ht="15.75">
      <c r="A59" s="107">
        <f>inputPrYr!B48</f>
        <v>0</v>
      </c>
      <c r="B59" s="61"/>
      <c r="C59" s="91"/>
      <c r="D59" s="91"/>
      <c r="E59" s="91"/>
    </row>
    <row r="60" spans="1:5" ht="15.75">
      <c r="A60" s="107">
        <f>inputPrYr!B49</f>
        <v>0</v>
      </c>
      <c r="B60" s="61"/>
      <c r="C60" s="91"/>
      <c r="D60" s="91"/>
      <c r="E60" s="91"/>
    </row>
    <row r="61" spans="1:5" ht="15.75">
      <c r="A61" s="107">
        <f>inputPrYr!B50</f>
        <v>0</v>
      </c>
      <c r="B61" s="61"/>
      <c r="C61" s="91"/>
      <c r="D61" s="91"/>
      <c r="E61" s="91"/>
    </row>
    <row r="62" spans="1:5" ht="15.75">
      <c r="A62" s="107">
        <f>inputPrYr!B51</f>
        <v>0</v>
      </c>
      <c r="B62" s="61"/>
      <c r="C62" s="91"/>
      <c r="D62" s="91"/>
      <c r="E62" s="91"/>
    </row>
    <row r="63" spans="1:5" ht="15.75">
      <c r="A63" s="107">
        <f>inputPrYr!B52</f>
        <v>0</v>
      </c>
      <c r="B63" s="61"/>
      <c r="C63" s="91"/>
      <c r="D63" s="91"/>
      <c r="E63" s="91"/>
    </row>
    <row r="64" spans="1:5" ht="15.75">
      <c r="A64" s="107">
        <f>inputPrYr!B53</f>
        <v>0</v>
      </c>
      <c r="B64" s="61"/>
      <c r="C64" s="91"/>
      <c r="D64" s="91"/>
      <c r="E64" s="91"/>
    </row>
    <row r="65" spans="1:5" ht="15.75">
      <c r="A65" s="107">
        <f>inputPrYr!B54</f>
        <v>0</v>
      </c>
      <c r="B65" s="61"/>
      <c r="C65" s="91"/>
      <c r="D65" s="91"/>
      <c r="E65" s="91"/>
    </row>
  </sheetData>
  <sheetProtection sheet="1"/>
  <mergeCells count="3">
    <mergeCell ref="A27:B27"/>
    <mergeCell ref="B28:B30"/>
    <mergeCell ref="C28:E28"/>
  </mergeCells>
  <printOptions/>
  <pageMargins left="0.75" right="0.75" top="1" bottom="1" header="0.5" footer="0.5"/>
  <pageSetup blackAndWhite="1" fitToHeight="1" fitToWidth="1" horizontalDpi="600" verticalDpi="600" orientation="portrait" scale="70" r:id="rId1"/>
</worksheet>
</file>

<file path=xl/worksheets/sheet3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Q119" sqref="Q119"/>
    </sheetView>
  </sheetViews>
  <sheetFormatPr defaultColWidth="8.796875" defaultRowHeight="15"/>
  <cols>
    <col min="1" max="1" width="2.3984375" style="31" customWidth="1"/>
    <col min="2" max="2" width="31.09765625" style="31" customWidth="1"/>
    <col min="3" max="4" width="15.796875" style="31" customWidth="1"/>
    <col min="5" max="5" width="16.19921875" style="31" customWidth="1"/>
    <col min="6" max="16384" width="8.8984375" style="31" customWidth="1"/>
  </cols>
  <sheetData>
    <row r="1" spans="2:5" ht="15.75">
      <c r="B1" s="160">
        <f>(inputPrYr!C3)</f>
        <v>0</v>
      </c>
      <c r="C1" s="45"/>
      <c r="D1" s="45"/>
      <c r="E1" s="230">
        <f>inputPrYr!C5</f>
        <v>0</v>
      </c>
    </row>
    <row r="2" spans="2:5" ht="15.75">
      <c r="B2" s="169"/>
      <c r="C2" s="266"/>
      <c r="D2" s="266"/>
      <c r="E2" s="267"/>
    </row>
    <row r="3" spans="2:5" ht="15.75">
      <c r="B3" s="169" t="s">
        <v>163</v>
      </c>
      <c r="C3" s="110"/>
      <c r="D3" s="110"/>
      <c r="E3" s="110"/>
    </row>
    <row r="4" spans="2:5" ht="15.75">
      <c r="B4" s="44" t="s">
        <v>49</v>
      </c>
      <c r="C4" s="563" t="s">
        <v>811</v>
      </c>
      <c r="D4" s="564" t="s">
        <v>812</v>
      </c>
      <c r="E4" s="114" t="s">
        <v>813</v>
      </c>
    </row>
    <row r="5" spans="2:5" ht="15.75">
      <c r="B5" s="405">
        <f>inputPrYr!$B$47</f>
        <v>0</v>
      </c>
      <c r="C5" s="386" t="str">
        <f>CONCATENATE("Actual for ",E1-2,"")</f>
        <v>Actual for -2</v>
      </c>
      <c r="D5" s="386" t="str">
        <f>CONCATENATE("Estimate for ",E1-1,"")</f>
        <v>Estimate for -1</v>
      </c>
      <c r="E5" s="244" t="str">
        <f>CONCATENATE("Year for ",E1,"")</f>
        <v>Year for 0</v>
      </c>
    </row>
    <row r="6" spans="2:5" ht="15.75">
      <c r="B6" s="118" t="s">
        <v>194</v>
      </c>
      <c r="C6" s="66"/>
      <c r="D6" s="209">
        <f>C29</f>
        <v>0</v>
      </c>
      <c r="E6" s="209">
        <f>D29</f>
        <v>0</v>
      </c>
    </row>
    <row r="7" spans="2:5" ht="15.75">
      <c r="B7" s="140" t="s">
        <v>196</v>
      </c>
      <c r="C7" s="128"/>
      <c r="D7" s="128"/>
      <c r="E7" s="128"/>
    </row>
    <row r="8" spans="2:5" ht="15.75">
      <c r="B8" s="261"/>
      <c r="C8" s="66"/>
      <c r="D8" s="66"/>
      <c r="E8" s="66"/>
    </row>
    <row r="9" spans="2:5" ht="15.75">
      <c r="B9" s="261"/>
      <c r="C9" s="66"/>
      <c r="D9" s="66"/>
      <c r="E9" s="66"/>
    </row>
    <row r="10" spans="2:5" ht="15.75">
      <c r="B10" s="261"/>
      <c r="C10" s="66"/>
      <c r="D10" s="66"/>
      <c r="E10" s="66"/>
    </row>
    <row r="11" spans="2:5" ht="15.75">
      <c r="B11" s="249" t="s">
        <v>57</v>
      </c>
      <c r="C11" s="66"/>
      <c r="D11" s="66"/>
      <c r="E11" s="66"/>
    </row>
    <row r="12" spans="2:5" ht="15.75">
      <c r="B12" s="250" t="s">
        <v>298</v>
      </c>
      <c r="C12" s="66"/>
      <c r="D12" s="269"/>
      <c r="E12" s="269"/>
    </row>
    <row r="13" spans="2:5" ht="15.75">
      <c r="B13" s="250" t="s">
        <v>673</v>
      </c>
      <c r="C13" s="399">
        <f>IF(C14*0.1&lt;C12,"Exceed 10% Rule","")</f>
      </c>
      <c r="D13" s="251">
        <f>IF(D14*0.1&lt;D12,"Exceed 10% Rule","")</f>
      </c>
      <c r="E13" s="251">
        <f>IF(E14*0.1&lt;E12,"Exceed 10% Rule","")</f>
      </c>
    </row>
    <row r="14" spans="2:5" ht="15.75">
      <c r="B14" s="252" t="s">
        <v>58</v>
      </c>
      <c r="C14" s="296">
        <f>SUM(C8:C12)</f>
        <v>0</v>
      </c>
      <c r="D14" s="296">
        <f>SUM(D8:D12)</f>
        <v>0</v>
      </c>
      <c r="E14" s="296">
        <f>SUM(E8:E12)</f>
        <v>0</v>
      </c>
    </row>
    <row r="15" spans="2:5" ht="15.75">
      <c r="B15" s="252" t="s">
        <v>59</v>
      </c>
      <c r="C15" s="296">
        <f>C14+C6</f>
        <v>0</v>
      </c>
      <c r="D15" s="296">
        <f>D14+D6</f>
        <v>0</v>
      </c>
      <c r="E15" s="296">
        <f>E14+E6</f>
        <v>0</v>
      </c>
    </row>
    <row r="16" spans="2:5" ht="15.75">
      <c r="B16" s="118" t="s">
        <v>62</v>
      </c>
      <c r="C16" s="209"/>
      <c r="D16" s="209"/>
      <c r="E16" s="209"/>
    </row>
    <row r="17" spans="2:5" ht="15.75">
      <c r="B17" s="261"/>
      <c r="C17" s="66"/>
      <c r="D17" s="66"/>
      <c r="E17" s="66"/>
    </row>
    <row r="18" spans="2:5" ht="15.75">
      <c r="B18" s="261"/>
      <c r="C18" s="66"/>
      <c r="D18" s="66"/>
      <c r="E18" s="66"/>
    </row>
    <row r="19" spans="2:5" ht="15.75">
      <c r="B19" s="261"/>
      <c r="C19" s="66"/>
      <c r="D19" s="66"/>
      <c r="E19" s="66"/>
    </row>
    <row r="20" spans="2:5" ht="15.75">
      <c r="B20" s="261"/>
      <c r="C20" s="66"/>
      <c r="D20" s="66"/>
      <c r="E20" s="66"/>
    </row>
    <row r="21" spans="2:5" ht="15.75">
      <c r="B21" s="261"/>
      <c r="C21" s="66"/>
      <c r="D21" s="66"/>
      <c r="E21" s="66"/>
    </row>
    <row r="22" spans="2:5" ht="15.75">
      <c r="B22" s="261"/>
      <c r="C22" s="66"/>
      <c r="D22" s="66"/>
      <c r="E22" s="66"/>
    </row>
    <row r="23" spans="2:5" ht="15.75">
      <c r="B23" s="261"/>
      <c r="C23" s="66"/>
      <c r="D23" s="66"/>
      <c r="E23" s="66"/>
    </row>
    <row r="24" spans="2:5" ht="15.75">
      <c r="B24" s="261"/>
      <c r="C24" s="66"/>
      <c r="D24" s="66"/>
      <c r="E24" s="66"/>
    </row>
    <row r="25" spans="2:5" ht="15.75">
      <c r="B25" s="250" t="str">
        <f>CONCATENATE("Cash Forward (",E1," column)")</f>
        <v>Cash Forward (0 column)</v>
      </c>
      <c r="C25" s="66"/>
      <c r="D25" s="66"/>
      <c r="E25" s="66"/>
    </row>
    <row r="26" spans="2:5" ht="15.75">
      <c r="B26" s="250" t="s">
        <v>298</v>
      </c>
      <c r="C26" s="66"/>
      <c r="D26" s="269"/>
      <c r="E26" s="269"/>
    </row>
    <row r="27" spans="2:5" ht="15.75">
      <c r="B27" s="250" t="s">
        <v>674</v>
      </c>
      <c r="C27" s="399">
        <f>IF(C28*0.1&lt;C26,"Exceed 10% Rule","")</f>
      </c>
      <c r="D27" s="251">
        <f>IF(D28*0.1&lt;D26,"Exceed 10% Rule","")</f>
      </c>
      <c r="E27" s="251">
        <f>IF(E28*0.1&lt;E26,"Exceed 10% Rule","")</f>
      </c>
    </row>
    <row r="28" spans="2:5" ht="15.75">
      <c r="B28" s="252" t="s">
        <v>63</v>
      </c>
      <c r="C28" s="296">
        <f>SUM(C17:C26)</f>
        <v>0</v>
      </c>
      <c r="D28" s="296">
        <f>SUM(D17:D26)</f>
        <v>0</v>
      </c>
      <c r="E28" s="296">
        <f>SUM(E17:E26)</f>
        <v>0</v>
      </c>
    </row>
    <row r="29" spans="2:5" ht="15.75">
      <c r="B29" s="118" t="s">
        <v>195</v>
      </c>
      <c r="C29" s="70">
        <f>C15-C28</f>
        <v>0</v>
      </c>
      <c r="D29" s="70">
        <f>D15-D28</f>
        <v>0</v>
      </c>
      <c r="E29" s="70">
        <f>E15-E28</f>
        <v>0</v>
      </c>
    </row>
    <row r="30" spans="2:5" ht="15.75">
      <c r="B30" s="146" t="str">
        <f>CONCATENATE("",E1-2,"/",E1-1,"/",E1," Budget Authority Amount:")</f>
        <v>-2/-1/0 Budget Authority Amount:</v>
      </c>
      <c r="C30" s="272">
        <f>inputOth!B58</f>
        <v>0</v>
      </c>
      <c r="D30" s="272">
        <f>inputPrYr!D47</f>
        <v>0</v>
      </c>
      <c r="E30" s="638">
        <f>E28</f>
        <v>0</v>
      </c>
    </row>
    <row r="31" spans="2:5" ht="15.75">
      <c r="B31" s="231"/>
      <c r="C31" s="264">
        <f>IF(C28&gt;C30,"See Tab A","")</f>
      </c>
      <c r="D31" s="264">
        <f>IF(D28&gt;D30,"See Tab C","")</f>
      </c>
      <c r="E31" s="639">
        <f>IF($E$29&lt;0,"See Tab E","")</f>
      </c>
    </row>
    <row r="32" spans="2:5" ht="15.75">
      <c r="B32" s="231"/>
      <c r="C32" s="264">
        <f>IF(C29&lt;0,"See Tab B","")</f>
      </c>
      <c r="D32" s="264">
        <f>IF(D29&lt;0,"See Tab D","")</f>
      </c>
      <c r="E32" s="92"/>
    </row>
    <row r="33" spans="2:5" ht="15.75">
      <c r="B33" s="45"/>
      <c r="C33" s="92"/>
      <c r="D33" s="92"/>
      <c r="E33" s="92"/>
    </row>
    <row r="34" spans="2:5" ht="15.75">
      <c r="B34" s="44"/>
      <c r="C34" s="110"/>
      <c r="D34" s="110"/>
      <c r="E34" s="110"/>
    </row>
    <row r="35" spans="2:5" ht="15.75">
      <c r="B35" s="44" t="s">
        <v>49</v>
      </c>
      <c r="C35" s="283" t="str">
        <f aca="true" t="shared" si="0" ref="C35:E36">C4</f>
        <v>Prior Year </v>
      </c>
      <c r="D35" s="114" t="str">
        <f t="shared" si="0"/>
        <v>Current Year </v>
      </c>
      <c r="E35" s="114" t="str">
        <f t="shared" si="0"/>
        <v>Proposed Budget </v>
      </c>
    </row>
    <row r="36" spans="2:5" ht="15.75">
      <c r="B36" s="405">
        <f>inputPrYr!$B$48</f>
        <v>0</v>
      </c>
      <c r="C36" s="256" t="str">
        <f t="shared" si="0"/>
        <v>Actual for -2</v>
      </c>
      <c r="D36" s="256" t="str">
        <f t="shared" si="0"/>
        <v>Estimate for -1</v>
      </c>
      <c r="E36" s="256" t="str">
        <f t="shared" si="0"/>
        <v>Year for 0</v>
      </c>
    </row>
    <row r="37" spans="2:5" ht="15.75">
      <c r="B37" s="118" t="s">
        <v>194</v>
      </c>
      <c r="C37" s="66"/>
      <c r="D37" s="209">
        <f>C60</f>
        <v>0</v>
      </c>
      <c r="E37" s="209">
        <f>D60</f>
        <v>0</v>
      </c>
    </row>
    <row r="38" spans="2:5" ht="15.75">
      <c r="B38" s="118" t="s">
        <v>196</v>
      </c>
      <c r="C38" s="128"/>
      <c r="D38" s="128"/>
      <c r="E38" s="128"/>
    </row>
    <row r="39" spans="2:5" ht="15.75">
      <c r="B39" s="261"/>
      <c r="C39" s="66"/>
      <c r="D39" s="66"/>
      <c r="E39" s="66"/>
    </row>
    <row r="40" spans="2:5" ht="15.75">
      <c r="B40" s="261"/>
      <c r="C40" s="66"/>
      <c r="D40" s="66"/>
      <c r="E40" s="66"/>
    </row>
    <row r="41" spans="2:5" ht="15.75">
      <c r="B41" s="261"/>
      <c r="C41" s="66"/>
      <c r="D41" s="66"/>
      <c r="E41" s="66"/>
    </row>
    <row r="42" spans="2:5" ht="15.75">
      <c r="B42" s="249" t="s">
        <v>57</v>
      </c>
      <c r="C42" s="66"/>
      <c r="D42" s="66"/>
      <c r="E42" s="66"/>
    </row>
    <row r="43" spans="2:5" ht="15.75">
      <c r="B43" s="250" t="s">
        <v>298</v>
      </c>
      <c r="C43" s="66"/>
      <c r="D43" s="269"/>
      <c r="E43" s="269"/>
    </row>
    <row r="44" spans="2:5" ht="15.75">
      <c r="B44" s="250" t="s">
        <v>673</v>
      </c>
      <c r="C44" s="399">
        <f>IF(C45*0.1&lt;C43,"Exceed 10% Rule","")</f>
      </c>
      <c r="D44" s="251">
        <f>IF(D45*0.1&lt;D43,"Exceed 10% Rule","")</f>
      </c>
      <c r="E44" s="251">
        <f>IF(E45*0.1&lt;E43,"Exceed 10% Rule","")</f>
      </c>
    </row>
    <row r="45" spans="2:5" ht="15.75">
      <c r="B45" s="252" t="s">
        <v>58</v>
      </c>
      <c r="C45" s="296">
        <f>SUM(C39:C43)</f>
        <v>0</v>
      </c>
      <c r="D45" s="296">
        <f>SUM(D39:D43)</f>
        <v>0</v>
      </c>
      <c r="E45" s="296">
        <f>SUM(E39:E43)</f>
        <v>0</v>
      </c>
    </row>
    <row r="46" spans="2:5" ht="15.75">
      <c r="B46" s="252" t="s">
        <v>59</v>
      </c>
      <c r="C46" s="296">
        <f>C37+C45</f>
        <v>0</v>
      </c>
      <c r="D46" s="296">
        <f>D37+D45</f>
        <v>0</v>
      </c>
      <c r="E46" s="296">
        <f>E37+E45</f>
        <v>0</v>
      </c>
    </row>
    <row r="47" spans="2:5" ht="15.75">
      <c r="B47" s="118" t="s">
        <v>62</v>
      </c>
      <c r="C47" s="209"/>
      <c r="D47" s="209"/>
      <c r="E47" s="209"/>
    </row>
    <row r="48" spans="2:5" ht="15.75">
      <c r="B48" s="261"/>
      <c r="C48" s="66"/>
      <c r="D48" s="66"/>
      <c r="E48" s="66"/>
    </row>
    <row r="49" spans="2:5" ht="15.75">
      <c r="B49" s="261"/>
      <c r="C49" s="66"/>
      <c r="D49" s="66"/>
      <c r="E49" s="66"/>
    </row>
    <row r="50" spans="2:5" ht="15.75">
      <c r="B50" s="261"/>
      <c r="C50" s="66"/>
      <c r="D50" s="66"/>
      <c r="E50" s="66"/>
    </row>
    <row r="51" spans="2:5" ht="15.75">
      <c r="B51" s="261"/>
      <c r="C51" s="66"/>
      <c r="D51" s="66"/>
      <c r="E51" s="66"/>
    </row>
    <row r="52" spans="2:5" ht="15.75">
      <c r="B52" s="261"/>
      <c r="C52" s="66"/>
      <c r="D52" s="66"/>
      <c r="E52" s="66"/>
    </row>
    <row r="53" spans="2:5" ht="15.75">
      <c r="B53" s="261"/>
      <c r="C53" s="66"/>
      <c r="D53" s="66"/>
      <c r="E53" s="66"/>
    </row>
    <row r="54" spans="2:5" ht="15.75">
      <c r="B54" s="261"/>
      <c r="C54" s="66"/>
      <c r="D54" s="66"/>
      <c r="E54" s="66"/>
    </row>
    <row r="55" spans="2:5" ht="15.75">
      <c r="B55" s="261"/>
      <c r="C55" s="66"/>
      <c r="D55" s="66"/>
      <c r="E55" s="66"/>
    </row>
    <row r="56" spans="2:5" ht="15.75">
      <c r="B56" s="250" t="str">
        <f>CONCATENATE("Cash Forward (",E1," column)")</f>
        <v>Cash Forward (0 column)</v>
      </c>
      <c r="C56" s="66"/>
      <c r="D56" s="66"/>
      <c r="E56" s="66"/>
    </row>
    <row r="57" spans="2:5" ht="15.75">
      <c r="B57" s="250" t="s">
        <v>298</v>
      </c>
      <c r="C57" s="66"/>
      <c r="D57" s="269"/>
      <c r="E57" s="269"/>
    </row>
    <row r="58" spans="2:5" ht="15.75">
      <c r="B58" s="250" t="s">
        <v>674</v>
      </c>
      <c r="C58" s="399">
        <f>IF(C59*0.1&lt;C57,"Exceed 10% Rule","")</f>
      </c>
      <c r="D58" s="251">
        <f>IF(D59*0.1&lt;D57,"Exceed 10% Rule","")</f>
      </c>
      <c r="E58" s="251">
        <f>IF(E59*0.1&lt;E57,"Exceed 10% Rule","")</f>
      </c>
    </row>
    <row r="59" spans="2:5" ht="15.75">
      <c r="B59" s="252" t="s">
        <v>63</v>
      </c>
      <c r="C59" s="296">
        <f>SUM(C48:C57)</f>
        <v>0</v>
      </c>
      <c r="D59" s="296">
        <f>SUM(D48:D57)</f>
        <v>0</v>
      </c>
      <c r="E59" s="296">
        <f>SUM(E48:E57)</f>
        <v>0</v>
      </c>
    </row>
    <row r="60" spans="2:5" ht="15.75">
      <c r="B60" s="118" t="s">
        <v>195</v>
      </c>
      <c r="C60" s="70">
        <f>C46-C59</f>
        <v>0</v>
      </c>
      <c r="D60" s="70">
        <f>D46-D59</f>
        <v>0</v>
      </c>
      <c r="E60" s="70">
        <f>E46-E59</f>
        <v>0</v>
      </c>
    </row>
    <row r="61" spans="2:5" ht="15.75">
      <c r="B61" s="146" t="str">
        <f>CONCATENATE("",E1-2,"/",E1-1,"/",E1," Budget Authority Amount:")</f>
        <v>-2/-1/0 Budget Authority Amount:</v>
      </c>
      <c r="C61" s="272">
        <f>inputOth!B59</f>
        <v>0</v>
      </c>
      <c r="D61" s="272">
        <f>inputPrYr!D48</f>
        <v>0</v>
      </c>
      <c r="E61" s="638">
        <f>E59</f>
        <v>0</v>
      </c>
    </row>
    <row r="62" spans="2:5" ht="15.75">
      <c r="B62" s="231"/>
      <c r="C62" s="264">
        <f>IF(C59&gt;C61,"See Tab A","")</f>
      </c>
      <c r="D62" s="264">
        <f>IF(D59&gt;D61,"See Tab C","")</f>
      </c>
      <c r="E62" s="640">
        <f>IF($E$60&lt;0,"See Tab E","")</f>
      </c>
    </row>
    <row r="63" spans="2:5" ht="15.75">
      <c r="B63" s="231"/>
      <c r="C63" s="264">
        <f>IF(C60&lt;0,"See Tab B","")</f>
      </c>
      <c r="D63" s="264">
        <f>IF(D60&lt;0,"See Tab D","")</f>
      </c>
      <c r="E63" s="45"/>
    </row>
    <row r="64" spans="2:5" ht="15.75">
      <c r="B64" s="45"/>
      <c r="C64" s="45"/>
      <c r="D64" s="45"/>
      <c r="E64" s="45"/>
    </row>
    <row r="65" spans="2:5" ht="15.75">
      <c r="B65" s="265" t="s">
        <v>115</v>
      </c>
      <c r="C65" s="709"/>
      <c r="D65" s="45"/>
      <c r="E65" s="45"/>
    </row>
  </sheetData>
  <sheetProtection sheet="1"/>
  <conditionalFormatting sqref="C43">
    <cfRule type="cellIs" priority="3" dxfId="351" operator="greaterThan" stopIfTrue="1">
      <formula>$C$45*0.1</formula>
    </cfRule>
  </conditionalFormatting>
  <conditionalFormatting sqref="D43">
    <cfRule type="cellIs" priority="4" dxfId="351" operator="greaterThan" stopIfTrue="1">
      <formula>$D$45*0.1</formula>
    </cfRule>
  </conditionalFormatting>
  <conditionalFormatting sqref="E43">
    <cfRule type="cellIs" priority="5" dxfId="351" operator="greaterThan" stopIfTrue="1">
      <formula>$E$45*0.1</formula>
    </cfRule>
  </conditionalFormatting>
  <conditionalFormatting sqref="C57">
    <cfRule type="cellIs" priority="6" dxfId="351" operator="greaterThan" stopIfTrue="1">
      <formula>$C$59*0.1</formula>
    </cfRule>
  </conditionalFormatting>
  <conditionalFormatting sqref="D57">
    <cfRule type="cellIs" priority="7" dxfId="351" operator="greaterThan" stopIfTrue="1">
      <formula>$D$59*0.1</formula>
    </cfRule>
  </conditionalFormatting>
  <conditionalFormatting sqref="E57">
    <cfRule type="cellIs" priority="8" dxfId="351" operator="greaterThan" stopIfTrue="1">
      <formula>$E$59*0.1</formula>
    </cfRule>
  </conditionalFormatting>
  <conditionalFormatting sqref="C26">
    <cfRule type="cellIs" priority="9" dxfId="351" operator="greaterThan" stopIfTrue="1">
      <formula>$C$28*0.1</formula>
    </cfRule>
  </conditionalFormatting>
  <conditionalFormatting sqref="D26">
    <cfRule type="cellIs" priority="10" dxfId="351" operator="greaterThan" stopIfTrue="1">
      <formula>$D$28*0.1</formula>
    </cfRule>
  </conditionalFormatting>
  <conditionalFormatting sqref="E26">
    <cfRule type="cellIs" priority="11" dxfId="351" operator="greaterThan" stopIfTrue="1">
      <formula>$E$28*0.1</formula>
    </cfRule>
  </conditionalFormatting>
  <conditionalFormatting sqref="C12">
    <cfRule type="cellIs" priority="12" dxfId="351" operator="greaterThan" stopIfTrue="1">
      <formula>$C$14*0.1</formula>
    </cfRule>
  </conditionalFormatting>
  <conditionalFormatting sqref="D12">
    <cfRule type="cellIs" priority="13" dxfId="351" operator="greaterThan" stopIfTrue="1">
      <formula>$D$14*0.1</formula>
    </cfRule>
  </conditionalFormatting>
  <conditionalFormatting sqref="E12">
    <cfRule type="cellIs" priority="14" dxfId="351" operator="greaterThan" stopIfTrue="1">
      <formula>$E$14*0.1</formula>
    </cfRule>
  </conditionalFormatting>
  <conditionalFormatting sqref="D59">
    <cfRule type="cellIs" priority="15" dxfId="2" operator="greaterThan" stopIfTrue="1">
      <formula>$D$61</formula>
    </cfRule>
  </conditionalFormatting>
  <conditionalFormatting sqref="C59">
    <cfRule type="cellIs" priority="16" dxfId="2" operator="greaterThan" stopIfTrue="1">
      <formula>$C$61</formula>
    </cfRule>
  </conditionalFormatting>
  <conditionalFormatting sqref="E60 C60 E29 C29">
    <cfRule type="cellIs" priority="17" dxfId="2" operator="lessThan" stopIfTrue="1">
      <formula>0</formula>
    </cfRule>
  </conditionalFormatting>
  <conditionalFormatting sqref="C28">
    <cfRule type="cellIs" priority="18" dxfId="2" operator="greaterThan" stopIfTrue="1">
      <formula>$C$30</formula>
    </cfRule>
  </conditionalFormatting>
  <conditionalFormatting sqref="D28">
    <cfRule type="cellIs" priority="19" dxfId="2" operator="greaterThan" stopIfTrue="1">
      <formula>$D$30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75" r:id="rId1"/>
  <headerFooter alignWithMargins="0">
    <oddHeader>&amp;RState of Kansas
County
</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Q113" sqref="Q113"/>
    </sheetView>
  </sheetViews>
  <sheetFormatPr defaultColWidth="8.796875" defaultRowHeight="15"/>
  <cols>
    <col min="1" max="1" width="2.3984375" style="1" customWidth="1"/>
    <col min="2" max="2" width="31.09765625" style="1" customWidth="1"/>
    <col min="3" max="4" width="15.796875" style="1" customWidth="1"/>
    <col min="5" max="5" width="16.296875" style="1" customWidth="1"/>
    <col min="6" max="16384" width="8.8984375" style="1" customWidth="1"/>
  </cols>
  <sheetData>
    <row r="1" spans="2:5" ht="15.75">
      <c r="B1" s="9">
        <f>(inputPrYr!C3)</f>
        <v>0</v>
      </c>
      <c r="C1" s="5"/>
      <c r="D1" s="5"/>
      <c r="E1" s="16">
        <f>inputPrYr!C5</f>
        <v>0</v>
      </c>
    </row>
    <row r="2" spans="2:5" ht="15.75">
      <c r="B2" s="11"/>
      <c r="C2" s="12"/>
      <c r="D2" s="12"/>
      <c r="E2" s="15"/>
    </row>
    <row r="3" spans="2:5" ht="15.75">
      <c r="B3" s="11" t="s">
        <v>163</v>
      </c>
      <c r="C3" s="7"/>
      <c r="D3" s="7"/>
      <c r="E3" s="7"/>
    </row>
    <row r="4" spans="2:5" ht="15.75">
      <c r="B4" s="6" t="s">
        <v>49</v>
      </c>
      <c r="C4" s="563" t="s">
        <v>811</v>
      </c>
      <c r="D4" s="564" t="s">
        <v>812</v>
      </c>
      <c r="E4" s="114" t="s">
        <v>813</v>
      </c>
    </row>
    <row r="5" spans="2:5" ht="15.75">
      <c r="B5" s="403">
        <f>inputPrYr!$B$49</f>
        <v>0</v>
      </c>
      <c r="C5" s="386" t="str">
        <f>CONCATENATE("Actual for ",E1-2,"")</f>
        <v>Actual for -2</v>
      </c>
      <c r="D5" s="386" t="str">
        <f>CONCATENATE("Estimate for ",E1-1,"")</f>
        <v>Estimate for -1</v>
      </c>
      <c r="E5" s="244" t="str">
        <f>CONCATENATE("Year for ",E1,"")</f>
        <v>Year for 0</v>
      </c>
    </row>
    <row r="6" spans="2:5" ht="15.75">
      <c r="B6" s="4" t="s">
        <v>194</v>
      </c>
      <c r="C6" s="2"/>
      <c r="D6" s="14">
        <f>C29</f>
        <v>0</v>
      </c>
      <c r="E6" s="14">
        <f>D29</f>
        <v>0</v>
      </c>
    </row>
    <row r="7" spans="2:5" ht="15.75">
      <c r="B7" s="22" t="s">
        <v>196</v>
      </c>
      <c r="C7" s="8"/>
      <c r="D7" s="8"/>
      <c r="E7" s="8"/>
    </row>
    <row r="8" spans="2:5" ht="15.75">
      <c r="B8" s="23"/>
      <c r="C8" s="2"/>
      <c r="D8" s="2"/>
      <c r="E8" s="2"/>
    </row>
    <row r="9" spans="2:5" ht="15.75">
      <c r="B9" s="23"/>
      <c r="C9" s="2"/>
      <c r="D9" s="2"/>
      <c r="E9" s="2"/>
    </row>
    <row r="10" spans="2:5" ht="15.75">
      <c r="B10" s="23"/>
      <c r="C10" s="2"/>
      <c r="D10" s="2"/>
      <c r="E10" s="2"/>
    </row>
    <row r="11" spans="2:5" ht="15.75">
      <c r="B11" s="3" t="s">
        <v>57</v>
      </c>
      <c r="C11" s="2"/>
      <c r="D11" s="2"/>
      <c r="E11" s="2"/>
    </row>
    <row r="12" spans="2:5" ht="15.75">
      <c r="B12" s="17" t="s">
        <v>298</v>
      </c>
      <c r="C12" s="2"/>
      <c r="D12" s="24"/>
      <c r="E12" s="24"/>
    </row>
    <row r="13" spans="2:5" ht="15.75">
      <c r="B13" s="17" t="s">
        <v>673</v>
      </c>
      <c r="C13" s="400">
        <f>IF(C14*0.1&lt;C12,"Exceed 10% Rule","")</f>
      </c>
      <c r="D13" s="25">
        <f>IF(D14*0.1&lt;D12,"Exceed 10% Rule","")</f>
      </c>
      <c r="E13" s="25">
        <f>IF(E14*0.1&lt;E12,"Exceed 10% Rule","")</f>
      </c>
    </row>
    <row r="14" spans="2:5" ht="15.75">
      <c r="B14" s="19" t="s">
        <v>58</v>
      </c>
      <c r="C14" s="21">
        <f>SUM(C8:C12)</f>
        <v>0</v>
      </c>
      <c r="D14" s="21">
        <f>SUM(D8:D12)</f>
        <v>0</v>
      </c>
      <c r="E14" s="21">
        <f>SUM(E8:E12)</f>
        <v>0</v>
      </c>
    </row>
    <row r="15" spans="2:5" ht="15.75">
      <c r="B15" s="19" t="s">
        <v>59</v>
      </c>
      <c r="C15" s="21">
        <f>C14+C6</f>
        <v>0</v>
      </c>
      <c r="D15" s="21">
        <f>D14+D6</f>
        <v>0</v>
      </c>
      <c r="E15" s="21">
        <f>E14+E6</f>
        <v>0</v>
      </c>
    </row>
    <row r="16" spans="2:5" ht="15.75">
      <c r="B16" s="4" t="s">
        <v>62</v>
      </c>
      <c r="C16" s="14"/>
      <c r="D16" s="14"/>
      <c r="E16" s="14"/>
    </row>
    <row r="17" spans="2:5" ht="15.75">
      <c r="B17" s="23"/>
      <c r="C17" s="2"/>
      <c r="D17" s="2"/>
      <c r="E17" s="2"/>
    </row>
    <row r="18" spans="2:5" ht="15.75">
      <c r="B18" s="23"/>
      <c r="C18" s="2"/>
      <c r="D18" s="2"/>
      <c r="E18" s="2"/>
    </row>
    <row r="19" spans="2:5" ht="15.75">
      <c r="B19" s="23"/>
      <c r="C19" s="2"/>
      <c r="D19" s="2"/>
      <c r="E19" s="2"/>
    </row>
    <row r="20" spans="2:5" ht="15.75">
      <c r="B20" s="23"/>
      <c r="C20" s="2"/>
      <c r="D20" s="2"/>
      <c r="E20" s="2"/>
    </row>
    <row r="21" spans="2:5" ht="15.75">
      <c r="B21" s="23"/>
      <c r="C21" s="2"/>
      <c r="D21" s="2"/>
      <c r="E21" s="2"/>
    </row>
    <row r="22" spans="2:5" ht="15.75">
      <c r="B22" s="23"/>
      <c r="C22" s="2"/>
      <c r="D22" s="2"/>
      <c r="E22" s="2"/>
    </row>
    <row r="23" spans="2:5" ht="15.75">
      <c r="B23" s="23"/>
      <c r="C23" s="2"/>
      <c r="D23" s="2"/>
      <c r="E23" s="2"/>
    </row>
    <row r="24" spans="2:5" ht="15.75">
      <c r="B24" s="23"/>
      <c r="C24" s="2"/>
      <c r="D24" s="2"/>
      <c r="E24" s="2"/>
    </row>
    <row r="25" spans="2:5" ht="15.75">
      <c r="B25" s="17" t="str">
        <f>CONCATENATE("Cash Forward (",E1," column)")</f>
        <v>Cash Forward (0 column)</v>
      </c>
      <c r="C25" s="2"/>
      <c r="D25" s="2"/>
      <c r="E25" s="2"/>
    </row>
    <row r="26" spans="2:5" ht="15.75">
      <c r="B26" s="17" t="s">
        <v>298</v>
      </c>
      <c r="C26" s="2"/>
      <c r="D26" s="24"/>
      <c r="E26" s="24"/>
    </row>
    <row r="27" spans="2:5" ht="15.75">
      <c r="B27" s="17" t="s">
        <v>674</v>
      </c>
      <c r="C27" s="400">
        <f>IF(C28*0.1&lt;C26,"Exceed 10% Rule","")</f>
      </c>
      <c r="D27" s="25">
        <f>IF(D28*0.1&lt;D26,"Exceed 10% Rule","")</f>
      </c>
      <c r="E27" s="25">
        <f>IF(E28*0.1&lt;E26,"Exceed 10% Rule","")</f>
      </c>
    </row>
    <row r="28" spans="2:5" ht="15.75">
      <c r="B28" s="19" t="s">
        <v>63</v>
      </c>
      <c r="C28" s="21">
        <f>SUM(C17:C26)</f>
        <v>0</v>
      </c>
      <c r="D28" s="21">
        <f>SUM(D17:D26)</f>
        <v>0</v>
      </c>
      <c r="E28" s="21">
        <f>SUM(E17:E26)</f>
        <v>0</v>
      </c>
    </row>
    <row r="29" spans="2:5" ht="15.75">
      <c r="B29" s="4" t="s">
        <v>195</v>
      </c>
      <c r="C29" s="20">
        <f>C15-C28</f>
        <v>0</v>
      </c>
      <c r="D29" s="20">
        <f>D15-D28</f>
        <v>0</v>
      </c>
      <c r="E29" s="20">
        <f>E15-E28</f>
        <v>0</v>
      </c>
    </row>
    <row r="30" spans="2:5" ht="15.75">
      <c r="B30" s="642" t="str">
        <f>CONCATENATE("",E1-2,"/",E1-1,"/",E1," Budget Authority Amount:")</f>
        <v>-2/-1/0 Budget Authority Amount:</v>
      </c>
      <c r="C30" s="641">
        <f>inputOth!B60</f>
        <v>0</v>
      </c>
      <c r="D30" s="641">
        <f>inputPrYr!D49</f>
        <v>0</v>
      </c>
      <c r="E30" s="643">
        <f>E28</f>
        <v>0</v>
      </c>
    </row>
    <row r="31" spans="2:5" ht="15.75">
      <c r="B31" s="13"/>
      <c r="C31" s="264">
        <f>IF(C28&gt;C30,"See Tab A","")</f>
      </c>
      <c r="D31" s="264">
        <f>IF(D28&gt;D30,"See Tab C","")</f>
      </c>
      <c r="E31" s="639">
        <f>IF($E$29&lt;0,"See Tab E","")</f>
      </c>
    </row>
    <row r="32" spans="2:5" ht="15.75">
      <c r="B32" s="13"/>
      <c r="C32" s="264">
        <f>IF(C29&lt;0,"See Tab B","")</f>
      </c>
      <c r="D32" s="264">
        <f>IF(D29&lt;0,"See Tab D","")</f>
      </c>
      <c r="E32" s="10"/>
    </row>
    <row r="33" spans="2:5" ht="15.75">
      <c r="B33" s="5"/>
      <c r="C33" s="10"/>
      <c r="D33" s="10"/>
      <c r="E33" s="10"/>
    </row>
    <row r="34" spans="2:5" ht="15.75">
      <c r="B34" s="6"/>
      <c r="C34" s="7"/>
      <c r="D34" s="7"/>
      <c r="E34" s="7"/>
    </row>
    <row r="35" spans="2:5" ht="15.75">
      <c r="B35" s="6" t="s">
        <v>49</v>
      </c>
      <c r="C35" s="565" t="str">
        <f aca="true" t="shared" si="0" ref="C35:E36">C4</f>
        <v>Prior Year </v>
      </c>
      <c r="D35" s="566" t="str">
        <f t="shared" si="0"/>
        <v>Current Year </v>
      </c>
      <c r="E35" s="566" t="str">
        <f t="shared" si="0"/>
        <v>Proposed Budget </v>
      </c>
    </row>
    <row r="36" spans="2:5" ht="15.75">
      <c r="B36" s="403">
        <f>inputPrYr!$B$50</f>
        <v>0</v>
      </c>
      <c r="C36" s="18" t="str">
        <f t="shared" si="0"/>
        <v>Actual for -2</v>
      </c>
      <c r="D36" s="18" t="str">
        <f t="shared" si="0"/>
        <v>Estimate for -1</v>
      </c>
      <c r="E36" s="18" t="str">
        <f t="shared" si="0"/>
        <v>Year for 0</v>
      </c>
    </row>
    <row r="37" spans="2:5" ht="15.75">
      <c r="B37" s="4" t="s">
        <v>194</v>
      </c>
      <c r="C37" s="2"/>
      <c r="D37" s="14">
        <f>C60</f>
        <v>0</v>
      </c>
      <c r="E37" s="14">
        <f>D60</f>
        <v>0</v>
      </c>
    </row>
    <row r="38" spans="2:5" ht="15.75">
      <c r="B38" s="4" t="s">
        <v>196</v>
      </c>
      <c r="C38" s="8"/>
      <c r="D38" s="8"/>
      <c r="E38" s="8"/>
    </row>
    <row r="39" spans="2:5" ht="15.75">
      <c r="B39" s="23"/>
      <c r="C39" s="2"/>
      <c r="D39" s="2"/>
      <c r="E39" s="2"/>
    </row>
    <row r="40" spans="2:5" ht="15.75">
      <c r="B40" s="23"/>
      <c r="C40" s="2"/>
      <c r="D40" s="2"/>
      <c r="E40" s="2"/>
    </row>
    <row r="41" spans="2:5" ht="15.75">
      <c r="B41" s="23"/>
      <c r="C41" s="2"/>
      <c r="D41" s="2"/>
      <c r="E41" s="2"/>
    </row>
    <row r="42" spans="2:5" ht="15.75">
      <c r="B42" s="3" t="s">
        <v>57</v>
      </c>
      <c r="C42" s="2"/>
      <c r="D42" s="2"/>
      <c r="E42" s="2"/>
    </row>
    <row r="43" spans="2:5" ht="15.75">
      <c r="B43" s="17" t="s">
        <v>298</v>
      </c>
      <c r="C43" s="2"/>
      <c r="D43" s="24"/>
      <c r="E43" s="24"/>
    </row>
    <row r="44" spans="2:5" ht="15.75">
      <c r="B44" s="17" t="s">
        <v>673</v>
      </c>
      <c r="C44" s="400">
        <f>IF(C45*0.1&lt;C43,"Exceed 10% Rule","")</f>
      </c>
      <c r="D44" s="25">
        <f>IF(D45*0.1&lt;D43,"Exceed 10% Rule","")</f>
      </c>
      <c r="E44" s="25">
        <f>IF(E45*0.1&lt;E43,"Exceed 10% Rule","")</f>
      </c>
    </row>
    <row r="45" spans="2:5" ht="15.75">
      <c r="B45" s="19" t="s">
        <v>58</v>
      </c>
      <c r="C45" s="21">
        <f>SUM(C39:C43)</f>
        <v>0</v>
      </c>
      <c r="D45" s="21">
        <f>SUM(D39:D43)</f>
        <v>0</v>
      </c>
      <c r="E45" s="21">
        <f>SUM(E39:E43)</f>
        <v>0</v>
      </c>
    </row>
    <row r="46" spans="2:5" ht="15.75">
      <c r="B46" s="19" t="s">
        <v>59</v>
      </c>
      <c r="C46" s="21">
        <f>C37+C45</f>
        <v>0</v>
      </c>
      <c r="D46" s="21">
        <f>D37+D45</f>
        <v>0</v>
      </c>
      <c r="E46" s="21">
        <f>E37+E45</f>
        <v>0</v>
      </c>
    </row>
    <row r="47" spans="2:5" ht="15.75">
      <c r="B47" s="4" t="s">
        <v>62</v>
      </c>
      <c r="C47" s="14"/>
      <c r="D47" s="14"/>
      <c r="E47" s="14"/>
    </row>
    <row r="48" spans="2:5" ht="15.75">
      <c r="B48" s="23"/>
      <c r="C48" s="2"/>
      <c r="D48" s="2"/>
      <c r="E48" s="2"/>
    </row>
    <row r="49" spans="2:5" ht="15.75">
      <c r="B49" s="23"/>
      <c r="C49" s="2"/>
      <c r="D49" s="2"/>
      <c r="E49" s="2"/>
    </row>
    <row r="50" spans="2:5" ht="15.75">
      <c r="B50" s="23"/>
      <c r="C50" s="2"/>
      <c r="D50" s="2"/>
      <c r="E50" s="2"/>
    </row>
    <row r="51" spans="2:5" ht="15.75">
      <c r="B51" s="23"/>
      <c r="C51" s="2"/>
      <c r="D51" s="2"/>
      <c r="E51" s="2"/>
    </row>
    <row r="52" spans="2:5" ht="15.75">
      <c r="B52" s="23"/>
      <c r="C52" s="2"/>
      <c r="D52" s="2"/>
      <c r="E52" s="2"/>
    </row>
    <row r="53" spans="2:5" ht="15.75">
      <c r="B53" s="23"/>
      <c r="C53" s="2"/>
      <c r="D53" s="2"/>
      <c r="E53" s="2"/>
    </row>
    <row r="54" spans="2:5" ht="15.75">
      <c r="B54" s="23"/>
      <c r="C54" s="2"/>
      <c r="D54" s="2"/>
      <c r="E54" s="2"/>
    </row>
    <row r="55" spans="2:5" ht="15.75">
      <c r="B55" s="23"/>
      <c r="C55" s="2"/>
      <c r="D55" s="2"/>
      <c r="E55" s="2"/>
    </row>
    <row r="56" spans="2:5" ht="15.75">
      <c r="B56" s="17" t="str">
        <f>CONCATENATE("Cash Forward (",E1," column)")</f>
        <v>Cash Forward (0 column)</v>
      </c>
      <c r="C56" s="2"/>
      <c r="D56" s="2"/>
      <c r="E56" s="2"/>
    </row>
    <row r="57" spans="2:5" ht="15.75">
      <c r="B57" s="17" t="s">
        <v>298</v>
      </c>
      <c r="C57" s="2"/>
      <c r="D57" s="24"/>
      <c r="E57" s="24"/>
    </row>
    <row r="58" spans="2:5" ht="15.75">
      <c r="B58" s="17" t="s">
        <v>674</v>
      </c>
      <c r="C58" s="400">
        <f>IF(C59*0.1&lt;C57,"Exceed 10% Rule","")</f>
      </c>
      <c r="D58" s="25">
        <f>IF(D59*0.1&lt;D57,"Exceed 10% Rule","")</f>
      </c>
      <c r="E58" s="25">
        <f>IF(E59*0.1&lt;E57,"Exceed 10% Rule","")</f>
      </c>
    </row>
    <row r="59" spans="2:5" ht="15.75">
      <c r="B59" s="19" t="s">
        <v>63</v>
      </c>
      <c r="C59" s="21">
        <f>SUM(C48:C57)</f>
        <v>0</v>
      </c>
      <c r="D59" s="21">
        <f>SUM(D48:D57)</f>
        <v>0</v>
      </c>
      <c r="E59" s="21">
        <f>SUM(E48:E57)</f>
        <v>0</v>
      </c>
    </row>
    <row r="60" spans="2:5" ht="15.75">
      <c r="B60" s="4" t="s">
        <v>195</v>
      </c>
      <c r="C60" s="20">
        <f>C46-C59</f>
        <v>0</v>
      </c>
      <c r="D60" s="20">
        <f>D46-D59</f>
        <v>0</v>
      </c>
      <c r="E60" s="20">
        <f>E46-E59</f>
        <v>0</v>
      </c>
    </row>
    <row r="61" spans="2:5" ht="15.75">
      <c r="B61" s="642" t="str">
        <f>CONCATENATE("",E1-2,"/",E1-1,"/",E1," Budget Authority Amount:")</f>
        <v>-2/-1/0 Budget Authority Amount:</v>
      </c>
      <c r="C61" s="641">
        <f>inputOth!B61</f>
        <v>0</v>
      </c>
      <c r="D61" s="641">
        <f>inputPrYr!D50</f>
        <v>0</v>
      </c>
      <c r="E61" s="643">
        <f>E59</f>
        <v>0</v>
      </c>
    </row>
    <row r="62" spans="2:5" ht="15.75">
      <c r="B62" s="13"/>
      <c r="C62" s="264">
        <f>IF(C59&gt;C61,"See Tab A","")</f>
      </c>
      <c r="D62" s="264">
        <f>IF(D59&gt;D61,"See Tab C","")</f>
      </c>
      <c r="E62" s="644">
        <f>IF($E$60&lt;0,"See Tab E","")</f>
      </c>
    </row>
    <row r="63" spans="2:5" ht="15.75">
      <c r="B63" s="13"/>
      <c r="C63" s="264">
        <f>IF(C60&lt;0,"See Tab B","")</f>
      </c>
      <c r="D63" s="264">
        <f>IF(D60&lt;0,"See Tab D","")</f>
      </c>
      <c r="E63" s="5"/>
    </row>
    <row r="64" spans="2:5" ht="15.75">
      <c r="B64" s="5"/>
      <c r="C64" s="5"/>
      <c r="D64" s="5"/>
      <c r="E64" s="5"/>
    </row>
    <row r="65" spans="2:5" ht="15.75">
      <c r="B65" s="265" t="s">
        <v>115</v>
      </c>
      <c r="C65" s="710"/>
      <c r="D65" s="5"/>
      <c r="E65" s="5"/>
    </row>
  </sheetData>
  <sheetProtection sheet="1"/>
  <conditionalFormatting sqref="C43">
    <cfRule type="cellIs" priority="3" dxfId="351" operator="greaterThan" stopIfTrue="1">
      <formula>$C$45*0.1</formula>
    </cfRule>
  </conditionalFormatting>
  <conditionalFormatting sqref="D43">
    <cfRule type="cellIs" priority="4" dxfId="351" operator="greaterThan" stopIfTrue="1">
      <formula>$D$45*0.1</formula>
    </cfRule>
  </conditionalFormatting>
  <conditionalFormatting sqref="E43">
    <cfRule type="cellIs" priority="5" dxfId="351" operator="greaterThan" stopIfTrue="1">
      <formula>$E$45*0.1</formula>
    </cfRule>
  </conditionalFormatting>
  <conditionalFormatting sqref="C57">
    <cfRule type="cellIs" priority="6" dxfId="351" operator="greaterThan" stopIfTrue="1">
      <formula>$C$59*0.1</formula>
    </cfRule>
  </conditionalFormatting>
  <conditionalFormatting sqref="D57">
    <cfRule type="cellIs" priority="7" dxfId="351" operator="greaterThan" stopIfTrue="1">
      <formula>$D$59*0.1</formula>
    </cfRule>
  </conditionalFormatting>
  <conditionalFormatting sqref="E57">
    <cfRule type="cellIs" priority="8" dxfId="351" operator="greaterThan" stopIfTrue="1">
      <formula>$E$59*0.1</formula>
    </cfRule>
  </conditionalFormatting>
  <conditionalFormatting sqref="C26">
    <cfRule type="cellIs" priority="9" dxfId="351" operator="greaterThan" stopIfTrue="1">
      <formula>$C$28*0.1</formula>
    </cfRule>
  </conditionalFormatting>
  <conditionalFormatting sqref="D26">
    <cfRule type="cellIs" priority="10" dxfId="351" operator="greaterThan" stopIfTrue="1">
      <formula>$D$28*0.1</formula>
    </cfRule>
  </conditionalFormatting>
  <conditionalFormatting sqref="E26">
    <cfRule type="cellIs" priority="11" dxfId="351" operator="greaterThan" stopIfTrue="1">
      <formula>$E$28*0.1</formula>
    </cfRule>
  </conditionalFormatting>
  <conditionalFormatting sqref="C12">
    <cfRule type="cellIs" priority="12" dxfId="351" operator="greaterThan" stopIfTrue="1">
      <formula>$C$14*0.1</formula>
    </cfRule>
  </conditionalFormatting>
  <conditionalFormatting sqref="D12">
    <cfRule type="cellIs" priority="13" dxfId="351" operator="greaterThan" stopIfTrue="1">
      <formula>$D$14*0.1</formula>
    </cfRule>
  </conditionalFormatting>
  <conditionalFormatting sqref="E12">
    <cfRule type="cellIs" priority="14" dxfId="351" operator="greaterThan" stopIfTrue="1">
      <formula>$E$14*0.1</formula>
    </cfRule>
  </conditionalFormatting>
  <conditionalFormatting sqref="E60 C60 E29 C29">
    <cfRule type="cellIs" priority="15" dxfId="2" operator="lessThan" stopIfTrue="1">
      <formula>0</formula>
    </cfRule>
  </conditionalFormatting>
  <conditionalFormatting sqref="D59">
    <cfRule type="cellIs" priority="16" dxfId="2" operator="greaterThan" stopIfTrue="1">
      <formula>$D$61</formula>
    </cfRule>
  </conditionalFormatting>
  <conditionalFormatting sqref="C59">
    <cfRule type="cellIs" priority="17" dxfId="2" operator="greaterThan" stopIfTrue="1">
      <formula>$C$61</formula>
    </cfRule>
  </conditionalFormatting>
  <conditionalFormatting sqref="C28">
    <cfRule type="cellIs" priority="18" dxfId="2" operator="greaterThan" stopIfTrue="1">
      <formula>$C$30</formula>
    </cfRule>
  </conditionalFormatting>
  <conditionalFormatting sqref="D28">
    <cfRule type="cellIs" priority="19" dxfId="2" operator="greaterThan" stopIfTrue="1">
      <formula>$D$30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75" r:id="rId1"/>
  <headerFooter alignWithMargins="0">
    <oddHeader>&amp;RState of Kansas
County
</oddHeader>
  </headerFooter>
</worksheet>
</file>

<file path=xl/worksheets/sheet3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Q128" sqref="Q128"/>
    </sheetView>
  </sheetViews>
  <sheetFormatPr defaultColWidth="8.796875" defaultRowHeight="15"/>
  <cols>
    <col min="1" max="1" width="2.3984375" style="31" customWidth="1"/>
    <col min="2" max="2" width="31.09765625" style="31" customWidth="1"/>
    <col min="3" max="4" width="15.796875" style="31" customWidth="1"/>
    <col min="5" max="5" width="16.19921875" style="31" customWidth="1"/>
    <col min="6" max="16384" width="8.8984375" style="31" customWidth="1"/>
  </cols>
  <sheetData>
    <row r="1" spans="2:5" ht="15.75">
      <c r="B1" s="160">
        <f>(inputPrYr!C3)</f>
        <v>0</v>
      </c>
      <c r="C1" s="45"/>
      <c r="D1" s="45"/>
      <c r="E1" s="230">
        <f>inputPrYr!C5</f>
        <v>0</v>
      </c>
    </row>
    <row r="2" spans="2:5" ht="15.75">
      <c r="B2" s="169"/>
      <c r="C2" s="266"/>
      <c r="D2" s="266"/>
      <c r="E2" s="267"/>
    </row>
    <row r="3" spans="2:5" ht="15.75">
      <c r="B3" s="169" t="s">
        <v>163</v>
      </c>
      <c r="C3" s="110"/>
      <c r="D3" s="110"/>
      <c r="E3" s="110"/>
    </row>
    <row r="4" spans="2:5" ht="15.75">
      <c r="B4" s="44" t="s">
        <v>49</v>
      </c>
      <c r="C4" s="563" t="s">
        <v>811</v>
      </c>
      <c r="D4" s="564" t="s">
        <v>812</v>
      </c>
      <c r="E4" s="114" t="s">
        <v>813</v>
      </c>
    </row>
    <row r="5" spans="2:5" ht="15.75">
      <c r="B5" s="405">
        <f>inputPrYr!$B$51</f>
        <v>0</v>
      </c>
      <c r="C5" s="386" t="str">
        <f>CONCATENATE("Actual for ",E1-2,"")</f>
        <v>Actual for -2</v>
      </c>
      <c r="D5" s="386" t="str">
        <f>CONCATENATE("Estimate for ",E1-1,"")</f>
        <v>Estimate for -1</v>
      </c>
      <c r="E5" s="244" t="str">
        <f>CONCATENATE("Year for ",E1,"")</f>
        <v>Year for 0</v>
      </c>
    </row>
    <row r="6" spans="2:5" ht="15.75">
      <c r="B6" s="118" t="s">
        <v>194</v>
      </c>
      <c r="C6" s="66"/>
      <c r="D6" s="209">
        <f>C29</f>
        <v>0</v>
      </c>
      <c r="E6" s="209">
        <f>D29</f>
        <v>0</v>
      </c>
    </row>
    <row r="7" spans="2:5" ht="15.75">
      <c r="B7" s="140" t="s">
        <v>196</v>
      </c>
      <c r="C7" s="128"/>
      <c r="D7" s="128"/>
      <c r="E7" s="128"/>
    </row>
    <row r="8" spans="2:5" ht="15.75">
      <c r="B8" s="261"/>
      <c r="C8" s="66"/>
      <c r="D8" s="66"/>
      <c r="E8" s="66"/>
    </row>
    <row r="9" spans="2:5" ht="15.75">
      <c r="B9" s="261"/>
      <c r="C9" s="66"/>
      <c r="D9" s="66"/>
      <c r="E9" s="66"/>
    </row>
    <row r="10" spans="2:5" ht="15.75">
      <c r="B10" s="261"/>
      <c r="C10" s="66"/>
      <c r="D10" s="66"/>
      <c r="E10" s="66"/>
    </row>
    <row r="11" spans="2:5" ht="15.75">
      <c r="B11" s="249" t="s">
        <v>57</v>
      </c>
      <c r="C11" s="66"/>
      <c r="D11" s="66"/>
      <c r="E11" s="66"/>
    </row>
    <row r="12" spans="2:5" ht="15.75">
      <c r="B12" s="250" t="s">
        <v>298</v>
      </c>
      <c r="C12" s="66"/>
      <c r="D12" s="269"/>
      <c r="E12" s="269"/>
    </row>
    <row r="13" spans="2:5" ht="15.75">
      <c r="B13" s="250" t="s">
        <v>673</v>
      </c>
      <c r="C13" s="399">
        <f>IF(C14*0.1&lt;C12,"Exceed 10% Rule","")</f>
      </c>
      <c r="D13" s="251">
        <f>IF(D14*0.1&lt;D12,"Exceed 10% Rule","")</f>
      </c>
      <c r="E13" s="251">
        <f>IF(E14*0.1&lt;E12,"Exceed 10% Rule","")</f>
      </c>
    </row>
    <row r="14" spans="2:5" ht="15.75">
      <c r="B14" s="252" t="s">
        <v>58</v>
      </c>
      <c r="C14" s="296">
        <f>SUM(C8:C12)</f>
        <v>0</v>
      </c>
      <c r="D14" s="296">
        <f>SUM(D8:D12)</f>
        <v>0</v>
      </c>
      <c r="E14" s="296">
        <f>SUM(E8:E12)</f>
        <v>0</v>
      </c>
    </row>
    <row r="15" spans="2:5" ht="15.75">
      <c r="B15" s="252" t="s">
        <v>59</v>
      </c>
      <c r="C15" s="296">
        <f>C14+C6</f>
        <v>0</v>
      </c>
      <c r="D15" s="296">
        <f>D14+D6</f>
        <v>0</v>
      </c>
      <c r="E15" s="296">
        <f>E14+E6</f>
        <v>0</v>
      </c>
    </row>
    <row r="16" spans="2:5" ht="15.75">
      <c r="B16" s="118" t="s">
        <v>62</v>
      </c>
      <c r="C16" s="209"/>
      <c r="D16" s="209"/>
      <c r="E16" s="209"/>
    </row>
    <row r="17" spans="2:5" ht="15.75">
      <c r="B17" s="261"/>
      <c r="C17" s="66"/>
      <c r="D17" s="66"/>
      <c r="E17" s="66"/>
    </row>
    <row r="18" spans="2:5" ht="15.75">
      <c r="B18" s="261"/>
      <c r="C18" s="66"/>
      <c r="D18" s="66"/>
      <c r="E18" s="66"/>
    </row>
    <row r="19" spans="2:5" ht="15.75">
      <c r="B19" s="261"/>
      <c r="C19" s="66"/>
      <c r="D19" s="66"/>
      <c r="E19" s="66"/>
    </row>
    <row r="20" spans="2:5" ht="15.75">
      <c r="B20" s="261"/>
      <c r="C20" s="66"/>
      <c r="D20" s="66"/>
      <c r="E20" s="66"/>
    </row>
    <row r="21" spans="2:5" ht="15.75">
      <c r="B21" s="261"/>
      <c r="C21" s="66"/>
      <c r="D21" s="66"/>
      <c r="E21" s="66"/>
    </row>
    <row r="22" spans="2:5" ht="15.75">
      <c r="B22" s="261"/>
      <c r="C22" s="66"/>
      <c r="D22" s="66"/>
      <c r="E22" s="66"/>
    </row>
    <row r="23" spans="2:5" ht="15.75">
      <c r="B23" s="261"/>
      <c r="C23" s="66"/>
      <c r="D23" s="66"/>
      <c r="E23" s="66"/>
    </row>
    <row r="24" spans="2:5" ht="15.75">
      <c r="B24" s="261"/>
      <c r="C24" s="66"/>
      <c r="D24" s="66"/>
      <c r="E24" s="66"/>
    </row>
    <row r="25" spans="2:5" ht="15.75">
      <c r="B25" s="250" t="str">
        <f>CONCATENATE("Cash Forward (",E1," column)")</f>
        <v>Cash Forward (0 column)</v>
      </c>
      <c r="C25" s="66"/>
      <c r="D25" s="66"/>
      <c r="E25" s="66"/>
    </row>
    <row r="26" spans="2:5" ht="15.75">
      <c r="B26" s="250" t="s">
        <v>298</v>
      </c>
      <c r="C26" s="66"/>
      <c r="D26" s="269"/>
      <c r="E26" s="269"/>
    </row>
    <row r="27" spans="2:5" ht="15.75">
      <c r="B27" s="250" t="s">
        <v>674</v>
      </c>
      <c r="C27" s="399">
        <f>IF(C28*0.1&lt;C26,"Exceed 10% Rule","")</f>
      </c>
      <c r="D27" s="251">
        <f>IF(D28*0.1&lt;D26,"Exceed 10% Rule","")</f>
      </c>
      <c r="E27" s="251">
        <f>IF(E28*0.1&lt;E26,"Exceed 10% Rule","")</f>
      </c>
    </row>
    <row r="28" spans="2:5" ht="15.75">
      <c r="B28" s="252" t="s">
        <v>63</v>
      </c>
      <c r="C28" s="296">
        <f>SUM(C17:C26)</f>
        <v>0</v>
      </c>
      <c r="D28" s="296">
        <f>SUM(D17:D26)</f>
        <v>0</v>
      </c>
      <c r="E28" s="296">
        <f>SUM(E17:E26)</f>
        <v>0</v>
      </c>
    </row>
    <row r="29" spans="2:5" ht="15.75">
      <c r="B29" s="118" t="s">
        <v>195</v>
      </c>
      <c r="C29" s="70">
        <f>C15-C28</f>
        <v>0</v>
      </c>
      <c r="D29" s="70">
        <f>D15-D28</f>
        <v>0</v>
      </c>
      <c r="E29" s="70">
        <f>E15-E28</f>
        <v>0</v>
      </c>
    </row>
    <row r="30" spans="2:5" ht="15.75">
      <c r="B30" s="146" t="str">
        <f>CONCATENATE("",E1-2,"/",E1-1,"/",E1," Budget Authority Amount:")</f>
        <v>-2/-1/0 Budget Authority Amount:</v>
      </c>
      <c r="C30" s="272">
        <f>inputOth!B62</f>
        <v>0</v>
      </c>
      <c r="D30" s="272">
        <f>inputPrYr!D51</f>
        <v>0</v>
      </c>
      <c r="E30" s="638">
        <f>E28</f>
        <v>0</v>
      </c>
    </row>
    <row r="31" spans="2:5" ht="15.75">
      <c r="B31" s="231"/>
      <c r="C31" s="264">
        <f>IF(C28&gt;C30,"See Tab A","")</f>
      </c>
      <c r="D31" s="264">
        <f>IF(D28&gt;D30,"See Tab C","")</f>
      </c>
      <c r="E31" s="639">
        <f>IF($E$29&lt;0,"See Tab E","")</f>
      </c>
    </row>
    <row r="32" spans="2:5" ht="15.75">
      <c r="B32" s="231"/>
      <c r="C32" s="264">
        <f>IF(C29&lt;0,"See Tab B","")</f>
      </c>
      <c r="D32" s="264">
        <f>IF(D29&lt;0,"See Tab D","")</f>
      </c>
      <c r="E32" s="92"/>
    </row>
    <row r="33" spans="2:5" ht="15.75">
      <c r="B33" s="45"/>
      <c r="C33" s="92"/>
      <c r="D33" s="92"/>
      <c r="E33" s="92"/>
    </row>
    <row r="34" spans="2:5" ht="15.75">
      <c r="B34" s="44"/>
      <c r="C34" s="110"/>
      <c r="D34" s="110"/>
      <c r="E34" s="110"/>
    </row>
    <row r="35" spans="2:5" ht="15.75">
      <c r="B35" s="44" t="s">
        <v>49</v>
      </c>
      <c r="C35" s="283" t="str">
        <f aca="true" t="shared" si="0" ref="C35:E36">C4</f>
        <v>Prior Year </v>
      </c>
      <c r="D35" s="114" t="str">
        <f t="shared" si="0"/>
        <v>Current Year </v>
      </c>
      <c r="E35" s="114" t="str">
        <f t="shared" si="0"/>
        <v>Proposed Budget </v>
      </c>
    </row>
    <row r="36" spans="2:5" ht="15.75">
      <c r="B36" s="405">
        <f>inputPrYr!$B$52</f>
        <v>0</v>
      </c>
      <c r="C36" s="256" t="str">
        <f t="shared" si="0"/>
        <v>Actual for -2</v>
      </c>
      <c r="D36" s="256" t="str">
        <f t="shared" si="0"/>
        <v>Estimate for -1</v>
      </c>
      <c r="E36" s="256" t="str">
        <f t="shared" si="0"/>
        <v>Year for 0</v>
      </c>
    </row>
    <row r="37" spans="2:5" ht="15.75">
      <c r="B37" s="118" t="s">
        <v>194</v>
      </c>
      <c r="C37" s="66"/>
      <c r="D37" s="209">
        <f>C60</f>
        <v>0</v>
      </c>
      <c r="E37" s="209">
        <f>D60</f>
        <v>0</v>
      </c>
    </row>
    <row r="38" spans="2:5" ht="15.75">
      <c r="B38" s="140" t="s">
        <v>196</v>
      </c>
      <c r="C38" s="128"/>
      <c r="D38" s="128"/>
      <c r="E38" s="128"/>
    </row>
    <row r="39" spans="2:5" ht="15.75">
      <c r="B39" s="261"/>
      <c r="C39" s="66"/>
      <c r="D39" s="66"/>
      <c r="E39" s="66"/>
    </row>
    <row r="40" spans="2:5" ht="15.75">
      <c r="B40" s="261"/>
      <c r="C40" s="66"/>
      <c r="D40" s="66"/>
      <c r="E40" s="66"/>
    </row>
    <row r="41" spans="2:5" ht="15.75">
      <c r="B41" s="261"/>
      <c r="C41" s="66"/>
      <c r="D41" s="66"/>
      <c r="E41" s="66"/>
    </row>
    <row r="42" spans="2:5" ht="15.75">
      <c r="B42" s="249" t="s">
        <v>57</v>
      </c>
      <c r="C42" s="66"/>
      <c r="D42" s="66"/>
      <c r="E42" s="66"/>
    </row>
    <row r="43" spans="2:5" ht="15.75">
      <c r="B43" s="250" t="s">
        <v>298</v>
      </c>
      <c r="C43" s="66"/>
      <c r="D43" s="269"/>
      <c r="E43" s="269"/>
    </row>
    <row r="44" spans="2:5" ht="15.75">
      <c r="B44" s="250" t="s">
        <v>673</v>
      </c>
      <c r="C44" s="399">
        <f>IF(C45*0.1&lt;C43,"Exceed 10% Rule","")</f>
      </c>
      <c r="D44" s="251">
        <f>IF(D45*0.1&lt;D43,"Exceed 10% Rule","")</f>
      </c>
      <c r="E44" s="251">
        <f>IF(E45*0.1&lt;E43,"Exceed 10% Rule","")</f>
      </c>
    </row>
    <row r="45" spans="2:5" ht="15.75">
      <c r="B45" s="252" t="s">
        <v>58</v>
      </c>
      <c r="C45" s="296">
        <f>SUM(C39:C43)</f>
        <v>0</v>
      </c>
      <c r="D45" s="296">
        <f>SUM(D39:D43)</f>
        <v>0</v>
      </c>
      <c r="E45" s="296">
        <f>SUM(E39:E43)</f>
        <v>0</v>
      </c>
    </row>
    <row r="46" spans="2:5" ht="15.75">
      <c r="B46" s="252" t="s">
        <v>59</v>
      </c>
      <c r="C46" s="296">
        <f>C37+C45</f>
        <v>0</v>
      </c>
      <c r="D46" s="296">
        <f>D37+D45</f>
        <v>0</v>
      </c>
      <c r="E46" s="296">
        <f>E37+E45</f>
        <v>0</v>
      </c>
    </row>
    <row r="47" spans="2:5" ht="15.75">
      <c r="B47" s="118" t="s">
        <v>62</v>
      </c>
      <c r="C47" s="209"/>
      <c r="D47" s="209"/>
      <c r="E47" s="209"/>
    </row>
    <row r="48" spans="2:5" ht="15.75">
      <c r="B48" s="261"/>
      <c r="C48" s="66"/>
      <c r="D48" s="66"/>
      <c r="E48" s="66"/>
    </row>
    <row r="49" spans="2:5" ht="15.75">
      <c r="B49" s="261"/>
      <c r="C49" s="66"/>
      <c r="D49" s="66"/>
      <c r="E49" s="66"/>
    </row>
    <row r="50" spans="2:5" ht="15.75">
      <c r="B50" s="261"/>
      <c r="C50" s="66"/>
      <c r="D50" s="66"/>
      <c r="E50" s="66"/>
    </row>
    <row r="51" spans="2:5" ht="15.75">
      <c r="B51" s="261"/>
      <c r="C51" s="66"/>
      <c r="D51" s="66"/>
      <c r="E51" s="66"/>
    </row>
    <row r="52" spans="2:5" ht="15.75">
      <c r="B52" s="261"/>
      <c r="C52" s="66"/>
      <c r="D52" s="66"/>
      <c r="E52" s="66"/>
    </row>
    <row r="53" spans="2:5" ht="15.75">
      <c r="B53" s="261"/>
      <c r="C53" s="66"/>
      <c r="D53" s="66"/>
      <c r="E53" s="66"/>
    </row>
    <row r="54" spans="2:5" ht="15.75">
      <c r="B54" s="261"/>
      <c r="C54" s="66"/>
      <c r="D54" s="66"/>
      <c r="E54" s="66"/>
    </row>
    <row r="55" spans="2:5" ht="15.75">
      <c r="B55" s="261"/>
      <c r="C55" s="66"/>
      <c r="D55" s="66"/>
      <c r="E55" s="66"/>
    </row>
    <row r="56" spans="2:5" ht="15.75">
      <c r="B56" s="250" t="str">
        <f>CONCATENATE("Cash Forward (",E1," column)")</f>
        <v>Cash Forward (0 column)</v>
      </c>
      <c r="C56" s="66"/>
      <c r="D56" s="66"/>
      <c r="E56" s="66"/>
    </row>
    <row r="57" spans="2:5" ht="15.75">
      <c r="B57" s="250" t="s">
        <v>298</v>
      </c>
      <c r="C57" s="66"/>
      <c r="D57" s="269"/>
      <c r="E57" s="269"/>
    </row>
    <row r="58" spans="2:5" ht="15.75">
      <c r="B58" s="250" t="s">
        <v>674</v>
      </c>
      <c r="C58" s="399">
        <f>IF(C59*0.1&lt;C57,"Exceed 10% Rule","")</f>
      </c>
      <c r="D58" s="251">
        <f>IF(D59*0.1&lt;D57,"Exceed 10% Rule","")</f>
      </c>
      <c r="E58" s="251">
        <f>IF(E59*0.1&lt;E57,"Exceed 10% Rule","")</f>
      </c>
    </row>
    <row r="59" spans="2:5" ht="15.75">
      <c r="B59" s="252" t="s">
        <v>63</v>
      </c>
      <c r="C59" s="296">
        <f>SUM(C48:C57)</f>
        <v>0</v>
      </c>
      <c r="D59" s="296">
        <f>SUM(D48:D57)</f>
        <v>0</v>
      </c>
      <c r="E59" s="296">
        <f>SUM(E48:E57)</f>
        <v>0</v>
      </c>
    </row>
    <row r="60" spans="2:5" ht="15.75">
      <c r="B60" s="118" t="s">
        <v>195</v>
      </c>
      <c r="C60" s="70">
        <f>C46-C59</f>
        <v>0</v>
      </c>
      <c r="D60" s="70">
        <f>D46-D59</f>
        <v>0</v>
      </c>
      <c r="E60" s="70">
        <f>E46-E59</f>
        <v>0</v>
      </c>
    </row>
    <row r="61" spans="2:5" ht="15.75">
      <c r="B61" s="146" t="str">
        <f>CONCATENATE("",E1-2,"/",E1-1,"/",E1," Budget Authority Amount:")</f>
        <v>-2/-1/0 Budget Authority Amount:</v>
      </c>
      <c r="C61" s="272">
        <f>inputOth!B63</f>
        <v>0</v>
      </c>
      <c r="D61" s="272">
        <f>inputPrYr!D52</f>
        <v>0</v>
      </c>
      <c r="E61" s="638">
        <f>E59</f>
        <v>0</v>
      </c>
    </row>
    <row r="62" spans="2:5" ht="15.75">
      <c r="B62" s="231"/>
      <c r="C62" s="264">
        <f>IF(C59&gt;C61,"See Tab A","")</f>
      </c>
      <c r="D62" s="264">
        <f>IF(D59&gt;D61,"See Tab C","")</f>
      </c>
      <c r="E62" s="640">
        <f>IF($E$60&lt;0,"See Tab E","")</f>
      </c>
    </row>
    <row r="63" spans="2:5" ht="15.75">
      <c r="B63" s="231"/>
      <c r="C63" s="264">
        <f>IF(C60&lt;0,"See Tab B","")</f>
      </c>
      <c r="D63" s="264">
        <f>IF(D60&lt;0,"See Tab D","")</f>
      </c>
      <c r="E63" s="45"/>
    </row>
    <row r="64" spans="2:5" ht="15.75">
      <c r="B64" s="45"/>
      <c r="C64" s="45"/>
      <c r="D64" s="45"/>
      <c r="E64" s="45"/>
    </row>
    <row r="65" spans="2:5" ht="15.75">
      <c r="B65" s="265" t="s">
        <v>115</v>
      </c>
      <c r="C65" s="709"/>
      <c r="D65" s="45"/>
      <c r="E65" s="45"/>
    </row>
  </sheetData>
  <sheetProtection sheet="1"/>
  <conditionalFormatting sqref="C43">
    <cfRule type="cellIs" priority="5" dxfId="351" operator="greaterThan" stopIfTrue="1">
      <formula>$C$45*0.1</formula>
    </cfRule>
  </conditionalFormatting>
  <conditionalFormatting sqref="D43">
    <cfRule type="cellIs" priority="6" dxfId="351" operator="greaterThan" stopIfTrue="1">
      <formula>$D$45*0.1</formula>
    </cfRule>
  </conditionalFormatting>
  <conditionalFormatting sqref="E43">
    <cfRule type="cellIs" priority="7" dxfId="351" operator="greaterThan" stopIfTrue="1">
      <formula>$E$45*0.1</formula>
    </cfRule>
  </conditionalFormatting>
  <conditionalFormatting sqref="C57">
    <cfRule type="cellIs" priority="8" dxfId="351" operator="greaterThan" stopIfTrue="1">
      <formula>$C$59*0.1</formula>
    </cfRule>
  </conditionalFormatting>
  <conditionalFormatting sqref="D57">
    <cfRule type="cellIs" priority="9" dxfId="351" operator="greaterThan" stopIfTrue="1">
      <formula>$D$59*0.1</formula>
    </cfRule>
  </conditionalFormatting>
  <conditionalFormatting sqref="E57">
    <cfRule type="cellIs" priority="10" dxfId="351" operator="greaterThan" stopIfTrue="1">
      <formula>$E$59*0.1</formula>
    </cfRule>
  </conditionalFormatting>
  <conditionalFormatting sqref="C26">
    <cfRule type="cellIs" priority="11" dxfId="351" operator="greaterThan" stopIfTrue="1">
      <formula>$C$28*0.1</formula>
    </cfRule>
  </conditionalFormatting>
  <conditionalFormatting sqref="D26">
    <cfRule type="cellIs" priority="12" dxfId="351" operator="greaterThan" stopIfTrue="1">
      <formula>$D$28*0.1</formula>
    </cfRule>
  </conditionalFormatting>
  <conditionalFormatting sqref="E26">
    <cfRule type="cellIs" priority="13" dxfId="351" operator="greaterThan" stopIfTrue="1">
      <formula>$E$28*0.1</formula>
    </cfRule>
  </conditionalFormatting>
  <conditionalFormatting sqref="C12">
    <cfRule type="cellIs" priority="14" dxfId="351" operator="greaterThan" stopIfTrue="1">
      <formula>$C$14*0.1</formula>
    </cfRule>
  </conditionalFormatting>
  <conditionalFormatting sqref="D12">
    <cfRule type="cellIs" priority="15" dxfId="351" operator="greaterThan" stopIfTrue="1">
      <formula>$D$14*0.1</formula>
    </cfRule>
  </conditionalFormatting>
  <conditionalFormatting sqref="E12">
    <cfRule type="cellIs" priority="16" dxfId="351" operator="greaterThan" stopIfTrue="1">
      <formula>$E$14*0.1</formula>
    </cfRule>
  </conditionalFormatting>
  <conditionalFormatting sqref="E60 E29 C29">
    <cfRule type="cellIs" priority="17" dxfId="2" operator="lessThan" stopIfTrue="1">
      <formula>0</formula>
    </cfRule>
  </conditionalFormatting>
  <conditionalFormatting sqref="D59">
    <cfRule type="cellIs" priority="18" dxfId="2" operator="greaterThan" stopIfTrue="1">
      <formula>$D$61</formula>
    </cfRule>
  </conditionalFormatting>
  <conditionalFormatting sqref="C59">
    <cfRule type="cellIs" priority="19" dxfId="2" operator="greaterThan" stopIfTrue="1">
      <formula>$C$61</formula>
    </cfRule>
  </conditionalFormatting>
  <conditionalFormatting sqref="C28">
    <cfRule type="cellIs" priority="20" dxfId="2" operator="greaterThan" stopIfTrue="1">
      <formula>$C$30</formula>
    </cfRule>
  </conditionalFormatting>
  <conditionalFormatting sqref="D28">
    <cfRule type="cellIs" priority="21" dxfId="2" operator="greaterThan" stopIfTrue="1">
      <formula>$D$30</formula>
    </cfRule>
  </conditionalFormatting>
  <conditionalFormatting sqref="C60">
    <cfRule type="cellIs" priority="4"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75" r:id="rId1"/>
  <headerFooter alignWithMargins="0">
    <oddHeader>&amp;RState of Kansas
County
</oddHeader>
  </headerFooter>
</worksheet>
</file>

<file path=xl/worksheets/sheet3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Q114" sqref="Q114"/>
    </sheetView>
  </sheetViews>
  <sheetFormatPr defaultColWidth="8.796875" defaultRowHeight="15"/>
  <cols>
    <col min="1" max="1" width="2.3984375" style="31" customWidth="1"/>
    <col min="2" max="2" width="31.09765625" style="31" customWidth="1"/>
    <col min="3" max="4" width="15.796875" style="31" customWidth="1"/>
    <col min="5" max="5" width="16.296875" style="31" customWidth="1"/>
    <col min="6" max="16384" width="8.8984375" style="31" customWidth="1"/>
  </cols>
  <sheetData>
    <row r="1" spans="2:5" ht="15.75">
      <c r="B1" s="160">
        <f>(inputPrYr!C3)</f>
        <v>0</v>
      </c>
      <c r="C1" s="45"/>
      <c r="D1" s="45"/>
      <c r="E1" s="230">
        <f>inputPrYr!C5</f>
        <v>0</v>
      </c>
    </row>
    <row r="2" spans="2:5" ht="15.75">
      <c r="B2" s="169"/>
      <c r="C2" s="266"/>
      <c r="D2" s="266"/>
      <c r="E2" s="267"/>
    </row>
    <row r="3" spans="2:5" ht="15.75">
      <c r="B3" s="169" t="s">
        <v>163</v>
      </c>
      <c r="C3" s="110"/>
      <c r="D3" s="110"/>
      <c r="E3" s="110"/>
    </row>
    <row r="4" spans="2:5" ht="15.75">
      <c r="B4" s="44" t="s">
        <v>49</v>
      </c>
      <c r="C4" s="563" t="s">
        <v>811</v>
      </c>
      <c r="D4" s="564" t="s">
        <v>812</v>
      </c>
      <c r="E4" s="114" t="s">
        <v>813</v>
      </c>
    </row>
    <row r="5" spans="2:5" ht="15.75">
      <c r="B5" s="405">
        <f>inputPrYr!$B$53</f>
        <v>0</v>
      </c>
      <c r="C5" s="386" t="str">
        <f>CONCATENATE("Actual for ",E1-2,"")</f>
        <v>Actual for -2</v>
      </c>
      <c r="D5" s="386" t="str">
        <f>CONCATENATE("Estimate for ",E1-1,"")</f>
        <v>Estimate for -1</v>
      </c>
      <c r="E5" s="244" t="str">
        <f>CONCATENATE("Year for ",E1,"")</f>
        <v>Year for 0</v>
      </c>
    </row>
    <row r="6" spans="2:5" ht="15.75">
      <c r="B6" s="118" t="s">
        <v>194</v>
      </c>
      <c r="C6" s="66"/>
      <c r="D6" s="209">
        <f>C29</f>
        <v>0</v>
      </c>
      <c r="E6" s="209">
        <f>D29</f>
        <v>0</v>
      </c>
    </row>
    <row r="7" spans="2:5" ht="15.75">
      <c r="B7" s="140" t="s">
        <v>196</v>
      </c>
      <c r="C7" s="128"/>
      <c r="D7" s="128"/>
      <c r="E7" s="128"/>
    </row>
    <row r="8" spans="2:5" ht="15.75">
      <c r="B8" s="261"/>
      <c r="C8" s="66"/>
      <c r="D8" s="66"/>
      <c r="E8" s="66"/>
    </row>
    <row r="9" spans="2:5" ht="15.75">
      <c r="B9" s="261"/>
      <c r="C9" s="66"/>
      <c r="D9" s="66"/>
      <c r="E9" s="66"/>
    </row>
    <row r="10" spans="2:5" ht="15.75">
      <c r="B10" s="261"/>
      <c r="C10" s="66"/>
      <c r="D10" s="66"/>
      <c r="E10" s="66"/>
    </row>
    <row r="11" spans="2:5" ht="15.75">
      <c r="B11" s="249" t="s">
        <v>57</v>
      </c>
      <c r="C11" s="66"/>
      <c r="D11" s="66"/>
      <c r="E11" s="66"/>
    </row>
    <row r="12" spans="2:5" ht="15.75">
      <c r="B12" s="250" t="s">
        <v>298</v>
      </c>
      <c r="C12" s="66"/>
      <c r="D12" s="269"/>
      <c r="E12" s="269"/>
    </row>
    <row r="13" spans="2:5" ht="15.75">
      <c r="B13" s="250" t="s">
        <v>673</v>
      </c>
      <c r="C13" s="399">
        <f>IF(C14*0.1&lt;C12,"Exceed 10% Rule","")</f>
      </c>
      <c r="D13" s="251">
        <f>IF(D14*0.1&lt;D12,"Exceed 10% Rule","")</f>
      </c>
      <c r="E13" s="251">
        <f>IF(E14*0.1&lt;E12,"Exceed 10% Rule","")</f>
      </c>
    </row>
    <row r="14" spans="2:5" ht="15.75">
      <c r="B14" s="252" t="s">
        <v>58</v>
      </c>
      <c r="C14" s="296">
        <f>SUM(C8:C12)</f>
        <v>0</v>
      </c>
      <c r="D14" s="296">
        <f>SUM(D8:D12)</f>
        <v>0</v>
      </c>
      <c r="E14" s="296">
        <f>SUM(E8:E12)</f>
        <v>0</v>
      </c>
    </row>
    <row r="15" spans="2:5" ht="15.75">
      <c r="B15" s="252" t="s">
        <v>59</v>
      </c>
      <c r="C15" s="296">
        <f>C14+C6</f>
        <v>0</v>
      </c>
      <c r="D15" s="296">
        <f>D14+D6</f>
        <v>0</v>
      </c>
      <c r="E15" s="296">
        <f>E14+E6</f>
        <v>0</v>
      </c>
    </row>
    <row r="16" spans="2:5" ht="15.75">
      <c r="B16" s="118" t="s">
        <v>62</v>
      </c>
      <c r="C16" s="209"/>
      <c r="D16" s="209"/>
      <c r="E16" s="209"/>
    </row>
    <row r="17" spans="2:5" ht="15.75">
      <c r="B17" s="261"/>
      <c r="C17" s="66"/>
      <c r="D17" s="66"/>
      <c r="E17" s="66"/>
    </row>
    <row r="18" spans="2:5" ht="15.75">
      <c r="B18" s="261"/>
      <c r="C18" s="66"/>
      <c r="D18" s="66"/>
      <c r="E18" s="66"/>
    </row>
    <row r="19" spans="2:5" ht="15.75">
      <c r="B19" s="261"/>
      <c r="C19" s="66"/>
      <c r="D19" s="66"/>
      <c r="E19" s="66"/>
    </row>
    <row r="20" spans="2:5" ht="15.75">
      <c r="B20" s="261"/>
      <c r="C20" s="66"/>
      <c r="D20" s="66"/>
      <c r="E20" s="66"/>
    </row>
    <row r="21" spans="2:5" ht="15.75">
      <c r="B21" s="261"/>
      <c r="C21" s="66"/>
      <c r="D21" s="66"/>
      <c r="E21" s="66"/>
    </row>
    <row r="22" spans="2:5" ht="15.75">
      <c r="B22" s="261"/>
      <c r="C22" s="66"/>
      <c r="D22" s="66"/>
      <c r="E22" s="66"/>
    </row>
    <row r="23" spans="2:5" ht="15.75">
      <c r="B23" s="261"/>
      <c r="C23" s="66"/>
      <c r="D23" s="66"/>
      <c r="E23" s="66"/>
    </row>
    <row r="24" spans="2:5" ht="15.75">
      <c r="B24" s="261"/>
      <c r="C24" s="66"/>
      <c r="D24" s="66"/>
      <c r="E24" s="66"/>
    </row>
    <row r="25" spans="2:5" ht="15.75">
      <c r="B25" s="250" t="str">
        <f>CONCATENATE("Cash Forward (",E1," column)")</f>
        <v>Cash Forward (0 column)</v>
      </c>
      <c r="C25" s="66"/>
      <c r="D25" s="66"/>
      <c r="E25" s="66"/>
    </row>
    <row r="26" spans="2:5" ht="15.75">
      <c r="B26" s="250" t="s">
        <v>298</v>
      </c>
      <c r="C26" s="66"/>
      <c r="D26" s="269"/>
      <c r="E26" s="269"/>
    </row>
    <row r="27" spans="2:5" ht="15.75">
      <c r="B27" s="250" t="s">
        <v>674</v>
      </c>
      <c r="C27" s="399">
        <f>IF(C28*0.1&lt;C26,"Exceed 10% Rule","")</f>
      </c>
      <c r="D27" s="251">
        <f>IF(D28*0.1&lt;D26,"Exceed 10% Rule","")</f>
      </c>
      <c r="E27" s="251">
        <f>IF(E28*0.1&lt;E26,"Exceed 10% Rule","")</f>
      </c>
    </row>
    <row r="28" spans="2:5" ht="15.75">
      <c r="B28" s="252" t="s">
        <v>63</v>
      </c>
      <c r="C28" s="296">
        <f>SUM(C17:C26)</f>
        <v>0</v>
      </c>
      <c r="D28" s="296">
        <f>SUM(D17:D26)</f>
        <v>0</v>
      </c>
      <c r="E28" s="296">
        <f>SUM(E17:E26)</f>
        <v>0</v>
      </c>
    </row>
    <row r="29" spans="2:5" ht="15.75">
      <c r="B29" s="118" t="s">
        <v>195</v>
      </c>
      <c r="C29" s="70">
        <f>C15-C28</f>
        <v>0</v>
      </c>
      <c r="D29" s="70">
        <f>D15-D28</f>
        <v>0</v>
      </c>
      <c r="E29" s="70">
        <f>E15-E28</f>
        <v>0</v>
      </c>
    </row>
    <row r="30" spans="2:5" ht="15.75">
      <c r="B30" s="146" t="str">
        <f>CONCATENATE("",E1-2,"/",E1-1,"/",E1," Budget Authority Amount:")</f>
        <v>-2/-1/0 Budget Authority Amount:</v>
      </c>
      <c r="C30" s="272">
        <f>inputOth!B64</f>
        <v>0</v>
      </c>
      <c r="D30" s="272">
        <f>inputPrYr!D53</f>
        <v>0</v>
      </c>
      <c r="E30" s="638">
        <f>E28</f>
        <v>0</v>
      </c>
    </row>
    <row r="31" spans="2:5" ht="15.75">
      <c r="B31" s="231"/>
      <c r="C31" s="264">
        <f>IF(C28&gt;C30,"See Tab A","")</f>
      </c>
      <c r="D31" s="264">
        <f>IF(D28&gt;D30,"See Tab C","")</f>
      </c>
      <c r="E31" s="639">
        <f>IF($E$29&lt;0,"See Tab E","")</f>
      </c>
    </row>
    <row r="32" spans="2:5" ht="15.75">
      <c r="B32" s="231"/>
      <c r="C32" s="264">
        <f>IF(C29&lt;0,"See Tab B","")</f>
      </c>
      <c r="D32" s="264">
        <f>IF(D29&lt;0,"See Tab D","")</f>
      </c>
      <c r="E32" s="92"/>
    </row>
    <row r="33" spans="2:5" ht="15.75">
      <c r="B33" s="45"/>
      <c r="C33" s="92"/>
      <c r="D33" s="92"/>
      <c r="E33" s="92"/>
    </row>
    <row r="34" spans="2:5" ht="15.75">
      <c r="B34" s="44"/>
      <c r="C34" s="110"/>
      <c r="D34" s="110"/>
      <c r="E34" s="110"/>
    </row>
    <row r="35" spans="2:5" ht="15.75">
      <c r="B35" s="44" t="s">
        <v>49</v>
      </c>
      <c r="C35" s="283" t="str">
        <f aca="true" t="shared" si="0" ref="C35:E36">C4</f>
        <v>Prior Year </v>
      </c>
      <c r="D35" s="114" t="str">
        <f t="shared" si="0"/>
        <v>Current Year </v>
      </c>
      <c r="E35" s="114" t="str">
        <f t="shared" si="0"/>
        <v>Proposed Budget </v>
      </c>
    </row>
    <row r="36" spans="2:5" ht="15.75">
      <c r="B36" s="405">
        <f>inputPrYr!$B$54</f>
        <v>0</v>
      </c>
      <c r="C36" s="256" t="str">
        <f t="shared" si="0"/>
        <v>Actual for -2</v>
      </c>
      <c r="D36" s="256" t="str">
        <f t="shared" si="0"/>
        <v>Estimate for -1</v>
      </c>
      <c r="E36" s="256" t="str">
        <f t="shared" si="0"/>
        <v>Year for 0</v>
      </c>
    </row>
    <row r="37" spans="2:5" ht="15.75">
      <c r="B37" s="118" t="s">
        <v>194</v>
      </c>
      <c r="C37" s="66"/>
      <c r="D37" s="209">
        <f>C60</f>
        <v>0</v>
      </c>
      <c r="E37" s="209">
        <f>D60</f>
        <v>0</v>
      </c>
    </row>
    <row r="38" spans="2:5" ht="15.75">
      <c r="B38" s="118" t="s">
        <v>196</v>
      </c>
      <c r="C38" s="128"/>
      <c r="D38" s="128"/>
      <c r="E38" s="128"/>
    </row>
    <row r="39" spans="2:5" ht="15.75">
      <c r="B39" s="261"/>
      <c r="C39" s="66"/>
      <c r="D39" s="66"/>
      <c r="E39" s="66"/>
    </row>
    <row r="40" spans="2:5" ht="15.75">
      <c r="B40" s="261"/>
      <c r="C40" s="66"/>
      <c r="D40" s="66"/>
      <c r="E40" s="66"/>
    </row>
    <row r="41" spans="2:5" ht="15.75">
      <c r="B41" s="261"/>
      <c r="C41" s="66"/>
      <c r="D41" s="66"/>
      <c r="E41" s="66"/>
    </row>
    <row r="42" spans="2:5" ht="15.75">
      <c r="B42" s="249" t="s">
        <v>57</v>
      </c>
      <c r="C42" s="66"/>
      <c r="D42" s="66"/>
      <c r="E42" s="66"/>
    </row>
    <row r="43" spans="2:5" ht="15.75">
      <c r="B43" s="250" t="s">
        <v>298</v>
      </c>
      <c r="C43" s="66"/>
      <c r="D43" s="269"/>
      <c r="E43" s="269"/>
    </row>
    <row r="44" spans="2:5" ht="15.75">
      <c r="B44" s="250" t="s">
        <v>673</v>
      </c>
      <c r="C44" s="399">
        <f>IF(C45*0.1&lt;C43,"Exceed 10% Rule","")</f>
      </c>
      <c r="D44" s="251">
        <f>IF(D45*0.1&lt;D43,"Exceed 10% Rule","")</f>
      </c>
      <c r="E44" s="251">
        <f>IF(E45*0.1&lt;E43,"Exceed 10% Rule","")</f>
      </c>
    </row>
    <row r="45" spans="2:5" ht="15.75">
      <c r="B45" s="252" t="s">
        <v>58</v>
      </c>
      <c r="C45" s="296">
        <f>SUM(C39:C43)</f>
        <v>0</v>
      </c>
      <c r="D45" s="296">
        <f>SUM(D39:D43)</f>
        <v>0</v>
      </c>
      <c r="E45" s="296">
        <f>SUM(E39:E43)</f>
        <v>0</v>
      </c>
    </row>
    <row r="46" spans="2:5" ht="15.75">
      <c r="B46" s="252" t="s">
        <v>59</v>
      </c>
      <c r="C46" s="296">
        <f>C37+C45</f>
        <v>0</v>
      </c>
      <c r="D46" s="296">
        <f>D37+D45</f>
        <v>0</v>
      </c>
      <c r="E46" s="296">
        <f>E37+E45</f>
        <v>0</v>
      </c>
    </row>
    <row r="47" spans="2:5" ht="15.75">
      <c r="B47" s="118" t="s">
        <v>62</v>
      </c>
      <c r="C47" s="209"/>
      <c r="D47" s="209"/>
      <c r="E47" s="209"/>
    </row>
    <row r="48" spans="2:5" ht="15.75">
      <c r="B48" s="261"/>
      <c r="C48" s="66"/>
      <c r="D48" s="66"/>
      <c r="E48" s="66"/>
    </row>
    <row r="49" spans="2:5" ht="15.75">
      <c r="B49" s="261"/>
      <c r="C49" s="66"/>
      <c r="D49" s="66"/>
      <c r="E49" s="66"/>
    </row>
    <row r="50" spans="2:5" ht="15.75">
      <c r="B50" s="261"/>
      <c r="C50" s="66"/>
      <c r="D50" s="66"/>
      <c r="E50" s="66"/>
    </row>
    <row r="51" spans="2:5" ht="15.75">
      <c r="B51" s="261"/>
      <c r="C51" s="66"/>
      <c r="D51" s="66"/>
      <c r="E51" s="66"/>
    </row>
    <row r="52" spans="2:5" ht="15.75">
      <c r="B52" s="261"/>
      <c r="C52" s="66"/>
      <c r="D52" s="66"/>
      <c r="E52" s="66"/>
    </row>
    <row r="53" spans="2:5" ht="15.75">
      <c r="B53" s="261"/>
      <c r="C53" s="66"/>
      <c r="D53" s="66"/>
      <c r="E53" s="66"/>
    </row>
    <row r="54" spans="2:5" ht="15.75">
      <c r="B54" s="261"/>
      <c r="C54" s="66"/>
      <c r="D54" s="66"/>
      <c r="E54" s="66"/>
    </row>
    <row r="55" spans="2:5" ht="15.75">
      <c r="B55" s="261"/>
      <c r="C55" s="66"/>
      <c r="D55" s="66"/>
      <c r="E55" s="66"/>
    </row>
    <row r="56" spans="2:5" ht="15.75">
      <c r="B56" s="250" t="str">
        <f>CONCATENATE("Cash Forward (",E1," column)")</f>
        <v>Cash Forward (0 column)</v>
      </c>
      <c r="C56" s="66"/>
      <c r="D56" s="66"/>
      <c r="E56" s="66"/>
    </row>
    <row r="57" spans="2:5" ht="15.75">
      <c r="B57" s="250" t="s">
        <v>298</v>
      </c>
      <c r="C57" s="66"/>
      <c r="D57" s="269"/>
      <c r="E57" s="269"/>
    </row>
    <row r="58" spans="2:5" ht="15.75">
      <c r="B58" s="250" t="s">
        <v>674</v>
      </c>
      <c r="C58" s="399">
        <f>IF(C59*0.1&lt;C57,"Exceed 10% Rule","")</f>
      </c>
      <c r="D58" s="251">
        <f>IF(D59*0.1&lt;D57,"Exceed 10% Rule","")</f>
      </c>
      <c r="E58" s="251">
        <f>IF(E59*0.1&lt;E57,"Exceed 10% Rule","")</f>
      </c>
    </row>
    <row r="59" spans="2:5" ht="15.75">
      <c r="B59" s="252" t="s">
        <v>63</v>
      </c>
      <c r="C59" s="296">
        <f>SUM(C48:C57)</f>
        <v>0</v>
      </c>
      <c r="D59" s="296">
        <f>SUM(D48:D57)</f>
        <v>0</v>
      </c>
      <c r="E59" s="296">
        <f>SUM(E48:E57)</f>
        <v>0</v>
      </c>
    </row>
    <row r="60" spans="2:5" ht="15.75">
      <c r="B60" s="118" t="s">
        <v>195</v>
      </c>
      <c r="C60" s="70">
        <f>C46-C59</f>
        <v>0</v>
      </c>
      <c r="D60" s="70">
        <f>D46-D59</f>
        <v>0</v>
      </c>
      <c r="E60" s="70">
        <f>E46-E59</f>
        <v>0</v>
      </c>
    </row>
    <row r="61" spans="2:5" ht="15.75">
      <c r="B61" s="146" t="str">
        <f>CONCATENATE("",E1-2,"/",E1-1,"/",E1," Budget Authority Amount:")</f>
        <v>-2/-1/0 Budget Authority Amount:</v>
      </c>
      <c r="C61" s="272">
        <f>inputOth!B65</f>
        <v>0</v>
      </c>
      <c r="D61" s="272">
        <f>inputPrYr!D54</f>
        <v>0</v>
      </c>
      <c r="E61" s="638">
        <f>E59</f>
        <v>0</v>
      </c>
    </row>
    <row r="62" spans="2:5" ht="15.75">
      <c r="B62" s="231"/>
      <c r="C62" s="264">
        <f>IF(C59&gt;C61,"See Tab A","")</f>
      </c>
      <c r="D62" s="264">
        <f>IF(D59&gt;D61,"See Tab C","")</f>
      </c>
      <c r="E62" s="640">
        <f>IF($E$60&lt;0,"See Tab E","")</f>
      </c>
    </row>
    <row r="63" spans="2:5" ht="15.75">
      <c r="B63" s="231"/>
      <c r="C63" s="264">
        <f>IF(C60&lt;0,"See Tab B","")</f>
      </c>
      <c r="D63" s="264">
        <f>IF(D60&lt;0,"See Tab D","")</f>
      </c>
      <c r="E63" s="45"/>
    </row>
    <row r="64" spans="2:5" ht="15.75">
      <c r="B64" s="45"/>
      <c r="C64" s="45"/>
      <c r="D64" s="45"/>
      <c r="E64" s="45"/>
    </row>
    <row r="65" spans="2:5" ht="15.75">
      <c r="B65" s="265" t="s">
        <v>115</v>
      </c>
      <c r="C65" s="709"/>
      <c r="D65" s="45"/>
      <c r="E65" s="45"/>
    </row>
  </sheetData>
  <sheetProtection sheet="1"/>
  <conditionalFormatting sqref="C43">
    <cfRule type="cellIs" priority="3" dxfId="351" operator="greaterThan" stopIfTrue="1">
      <formula>$C$45*0.1</formula>
    </cfRule>
  </conditionalFormatting>
  <conditionalFormatting sqref="D43">
    <cfRule type="cellIs" priority="4" dxfId="351" operator="greaterThan" stopIfTrue="1">
      <formula>$D$45*0.1</formula>
    </cfRule>
  </conditionalFormatting>
  <conditionalFormatting sqref="E43">
    <cfRule type="cellIs" priority="5" dxfId="351" operator="greaterThan" stopIfTrue="1">
      <formula>$E$45*0.1</formula>
    </cfRule>
  </conditionalFormatting>
  <conditionalFormatting sqref="C57">
    <cfRule type="cellIs" priority="6" dxfId="351" operator="greaterThan" stopIfTrue="1">
      <formula>$C$59*0.1</formula>
    </cfRule>
  </conditionalFormatting>
  <conditionalFormatting sqref="D57">
    <cfRule type="cellIs" priority="7" dxfId="351" operator="greaterThan" stopIfTrue="1">
      <formula>$D$59*0.1</formula>
    </cfRule>
  </conditionalFormatting>
  <conditionalFormatting sqref="E57">
    <cfRule type="cellIs" priority="8" dxfId="351" operator="greaterThan" stopIfTrue="1">
      <formula>$E$59*0.1</formula>
    </cfRule>
  </conditionalFormatting>
  <conditionalFormatting sqref="C26">
    <cfRule type="cellIs" priority="9" dxfId="351" operator="greaterThan" stopIfTrue="1">
      <formula>$C$28*0.1</formula>
    </cfRule>
  </conditionalFormatting>
  <conditionalFormatting sqref="D26">
    <cfRule type="cellIs" priority="10" dxfId="351" operator="greaterThan" stopIfTrue="1">
      <formula>$D$28*0.1</formula>
    </cfRule>
  </conditionalFormatting>
  <conditionalFormatting sqref="E26">
    <cfRule type="cellIs" priority="11" dxfId="351" operator="greaterThan" stopIfTrue="1">
      <formula>$E$28*0.1</formula>
    </cfRule>
  </conditionalFormatting>
  <conditionalFormatting sqref="C12">
    <cfRule type="cellIs" priority="12" dxfId="351" operator="greaterThan" stopIfTrue="1">
      <formula>$C$14*0.1</formula>
    </cfRule>
  </conditionalFormatting>
  <conditionalFormatting sqref="D12">
    <cfRule type="cellIs" priority="13" dxfId="351" operator="greaterThan" stopIfTrue="1">
      <formula>$D$14*0.1</formula>
    </cfRule>
  </conditionalFormatting>
  <conditionalFormatting sqref="E12">
    <cfRule type="cellIs" priority="14" dxfId="351" operator="greaterThan" stopIfTrue="1">
      <formula>$E$14*0.1</formula>
    </cfRule>
  </conditionalFormatting>
  <conditionalFormatting sqref="E60 E29 C29 C60">
    <cfRule type="cellIs" priority="15" dxfId="2" operator="lessThan" stopIfTrue="1">
      <formula>0</formula>
    </cfRule>
  </conditionalFormatting>
  <conditionalFormatting sqref="C28">
    <cfRule type="cellIs" priority="16" dxfId="2" operator="greaterThan" stopIfTrue="1">
      <formula>$C$30</formula>
    </cfRule>
  </conditionalFormatting>
  <conditionalFormatting sqref="D28">
    <cfRule type="cellIs" priority="17" dxfId="2" operator="greaterThan" stopIfTrue="1">
      <formula>$D$30</formula>
    </cfRule>
  </conditionalFormatting>
  <conditionalFormatting sqref="D59">
    <cfRule type="cellIs" priority="18" dxfId="2" operator="greaterThan" stopIfTrue="1">
      <formula>$D$61</formula>
    </cfRule>
  </conditionalFormatting>
  <conditionalFormatting sqref="C59">
    <cfRule type="cellIs" priority="19" dxfId="2" operator="greaterThan" stopIfTrue="1">
      <formula>$C$61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76" r:id="rId1"/>
  <headerFooter alignWithMargins="0">
    <oddHeader>&amp;RState of Kansas
County
</oddHeader>
  </headerFooter>
</worksheet>
</file>

<file path=xl/worksheets/sheet3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78" sqref="T78"/>
    </sheetView>
  </sheetViews>
  <sheetFormatPr defaultColWidth="8.796875" defaultRowHeight="15" customHeight="1"/>
  <cols>
    <col min="1" max="1" width="11.59765625" style="31" customWidth="1"/>
    <col min="2" max="2" width="7.3984375" style="31" customWidth="1"/>
    <col min="3" max="3" width="11.59765625" style="31" customWidth="1"/>
    <col min="4" max="4" width="7.3984375" style="31" customWidth="1"/>
    <col min="5" max="5" width="11.59765625" style="31" customWidth="1"/>
    <col min="6" max="6" width="7.3984375" style="31" customWidth="1"/>
    <col min="7" max="7" width="11.59765625" style="31" customWidth="1"/>
    <col min="8" max="8" width="7.3984375" style="31" customWidth="1"/>
    <col min="9" max="9" width="11.59765625" style="31" customWidth="1"/>
    <col min="10" max="16384" width="8.8984375" style="31" customWidth="1"/>
  </cols>
  <sheetData>
    <row r="1" spans="1:11" ht="15" customHeight="1">
      <c r="A1" s="90">
        <f>inputPrYr!$C$3</f>
        <v>0</v>
      </c>
      <c r="B1" s="180"/>
      <c r="C1" s="80"/>
      <c r="D1" s="80"/>
      <c r="E1" s="80"/>
      <c r="F1" s="299" t="s">
        <v>281</v>
      </c>
      <c r="G1" s="80"/>
      <c r="H1" s="80"/>
      <c r="I1" s="80"/>
      <c r="J1" s="80"/>
      <c r="K1" s="80">
        <f>inputPrYr!$C$5</f>
        <v>0</v>
      </c>
    </row>
    <row r="2" spans="1:11" ht="15" customHeight="1">
      <c r="A2" s="80"/>
      <c r="B2" s="80"/>
      <c r="C2" s="80"/>
      <c r="D2" s="80"/>
      <c r="E2" s="80"/>
      <c r="F2" s="300" t="str">
        <f>CONCATENATE("(Only the actual budget year for ",K1-2," is to be shown)")</f>
        <v>(Only the actual budget year for -2 is to be shown)</v>
      </c>
      <c r="G2" s="80"/>
      <c r="H2" s="80"/>
      <c r="I2" s="80"/>
      <c r="J2" s="80"/>
      <c r="K2" s="80"/>
    </row>
    <row r="3" spans="1:11" ht="15" customHeight="1">
      <c r="A3" s="80" t="s">
        <v>259</v>
      </c>
      <c r="B3" s="80"/>
      <c r="C3" s="80"/>
      <c r="D3" s="80"/>
      <c r="E3" s="80"/>
      <c r="F3" s="180"/>
      <c r="G3" s="80"/>
      <c r="H3" s="80"/>
      <c r="I3" s="80"/>
      <c r="J3" s="80"/>
      <c r="K3" s="80"/>
    </row>
    <row r="4" spans="1:11" ht="15" customHeight="1">
      <c r="A4" s="80" t="s">
        <v>252</v>
      </c>
      <c r="B4" s="80"/>
      <c r="C4" s="80" t="s">
        <v>253</v>
      </c>
      <c r="D4" s="80"/>
      <c r="E4" s="80" t="s">
        <v>254</v>
      </c>
      <c r="F4" s="180"/>
      <c r="G4" s="80" t="s">
        <v>255</v>
      </c>
      <c r="H4" s="80"/>
      <c r="I4" s="80" t="s">
        <v>256</v>
      </c>
      <c r="J4" s="80"/>
      <c r="K4" s="80"/>
    </row>
    <row r="5" spans="1:11" ht="15" customHeight="1">
      <c r="A5" s="870">
        <f>inputPrYr!B58</f>
        <v>0</v>
      </c>
      <c r="B5" s="871"/>
      <c r="C5" s="870">
        <f>inputPrYr!B59</f>
        <v>0</v>
      </c>
      <c r="D5" s="871"/>
      <c r="E5" s="870">
        <f>inputPrYr!B60</f>
        <v>0</v>
      </c>
      <c r="F5" s="871"/>
      <c r="G5" s="870">
        <f>inputPrYr!B61</f>
        <v>0</v>
      </c>
      <c r="H5" s="871"/>
      <c r="I5" s="870">
        <f>inputPrYr!B62</f>
        <v>0</v>
      </c>
      <c r="J5" s="871"/>
      <c r="K5" s="302"/>
    </row>
    <row r="6" spans="1:11" ht="15" customHeight="1">
      <c r="A6" s="303" t="s">
        <v>257</v>
      </c>
      <c r="B6" s="304"/>
      <c r="C6" s="305" t="s">
        <v>257</v>
      </c>
      <c r="D6" s="306"/>
      <c r="E6" s="305" t="s">
        <v>257</v>
      </c>
      <c r="F6" s="301"/>
      <c r="G6" s="305" t="s">
        <v>257</v>
      </c>
      <c r="H6" s="307"/>
      <c r="I6" s="305" t="s">
        <v>257</v>
      </c>
      <c r="J6" s="80"/>
      <c r="K6" s="308" t="s">
        <v>19</v>
      </c>
    </row>
    <row r="7" spans="1:11" ht="15" customHeight="1">
      <c r="A7" s="309" t="s">
        <v>338</v>
      </c>
      <c r="B7" s="310"/>
      <c r="C7" s="311" t="s">
        <v>338</v>
      </c>
      <c r="D7" s="310"/>
      <c r="E7" s="311" t="s">
        <v>338</v>
      </c>
      <c r="F7" s="310"/>
      <c r="G7" s="311" t="s">
        <v>338</v>
      </c>
      <c r="H7" s="310"/>
      <c r="I7" s="311" t="s">
        <v>338</v>
      </c>
      <c r="J7" s="310"/>
      <c r="K7" s="312">
        <f>SUM(B7+D7+F7+H7+J7)</f>
        <v>0</v>
      </c>
    </row>
    <row r="8" spans="1:11" ht="15" customHeight="1">
      <c r="A8" s="313" t="s">
        <v>196</v>
      </c>
      <c r="B8" s="314"/>
      <c r="C8" s="313" t="s">
        <v>196</v>
      </c>
      <c r="D8" s="315"/>
      <c r="E8" s="313" t="s">
        <v>196</v>
      </c>
      <c r="F8" s="180"/>
      <c r="G8" s="313" t="s">
        <v>196</v>
      </c>
      <c r="H8" s="80"/>
      <c r="I8" s="313" t="s">
        <v>196</v>
      </c>
      <c r="J8" s="80"/>
      <c r="K8" s="180"/>
    </row>
    <row r="9" spans="1:11" ht="15" customHeight="1">
      <c r="A9" s="316"/>
      <c r="B9" s="310"/>
      <c r="C9" s="316"/>
      <c r="D9" s="310"/>
      <c r="E9" s="316"/>
      <c r="F9" s="310"/>
      <c r="G9" s="316"/>
      <c r="H9" s="310"/>
      <c r="I9" s="316"/>
      <c r="J9" s="310"/>
      <c r="K9" s="180"/>
    </row>
    <row r="10" spans="1:11" ht="15" customHeight="1">
      <c r="A10" s="316"/>
      <c r="B10" s="310"/>
      <c r="C10" s="316"/>
      <c r="D10" s="310"/>
      <c r="E10" s="316"/>
      <c r="F10" s="310"/>
      <c r="G10" s="316"/>
      <c r="H10" s="310"/>
      <c r="I10" s="316"/>
      <c r="J10" s="310"/>
      <c r="K10" s="180"/>
    </row>
    <row r="11" spans="1:11" ht="15" customHeight="1">
      <c r="A11" s="316"/>
      <c r="B11" s="310"/>
      <c r="C11" s="317"/>
      <c r="D11" s="310"/>
      <c r="E11" s="317"/>
      <c r="F11" s="310"/>
      <c r="G11" s="317"/>
      <c r="H11" s="310"/>
      <c r="I11" s="318"/>
      <c r="J11" s="310"/>
      <c r="K11" s="180"/>
    </row>
    <row r="12" spans="1:11" ht="15" customHeight="1">
      <c r="A12" s="316"/>
      <c r="B12" s="310"/>
      <c r="C12" s="316"/>
      <c r="D12" s="310"/>
      <c r="E12" s="319"/>
      <c r="F12" s="310"/>
      <c r="G12" s="319"/>
      <c r="H12" s="310"/>
      <c r="I12" s="319"/>
      <c r="J12" s="310"/>
      <c r="K12" s="180"/>
    </row>
    <row r="13" spans="1:11" ht="15" customHeight="1">
      <c r="A13" s="320"/>
      <c r="B13" s="310"/>
      <c r="C13" s="321"/>
      <c r="D13" s="310"/>
      <c r="E13" s="321"/>
      <c r="F13" s="310"/>
      <c r="G13" s="321"/>
      <c r="H13" s="310"/>
      <c r="I13" s="318"/>
      <c r="J13" s="310"/>
      <c r="K13" s="180"/>
    </row>
    <row r="14" spans="1:11" ht="15" customHeight="1">
      <c r="A14" s="316"/>
      <c r="B14" s="310"/>
      <c r="C14" s="319"/>
      <c r="D14" s="310"/>
      <c r="E14" s="319"/>
      <c r="F14" s="310"/>
      <c r="G14" s="319"/>
      <c r="H14" s="310"/>
      <c r="I14" s="319"/>
      <c r="J14" s="310"/>
      <c r="K14" s="180"/>
    </row>
    <row r="15" spans="1:11" ht="15" customHeight="1">
      <c r="A15" s="316"/>
      <c r="B15" s="310"/>
      <c r="C15" s="319"/>
      <c r="D15" s="310"/>
      <c r="E15" s="319"/>
      <c r="F15" s="310"/>
      <c r="G15" s="319"/>
      <c r="H15" s="310"/>
      <c r="I15" s="319"/>
      <c r="J15" s="310"/>
      <c r="K15" s="180"/>
    </row>
    <row r="16" spans="1:11" ht="15" customHeight="1">
      <c r="A16" s="316"/>
      <c r="B16" s="310"/>
      <c r="C16" s="316"/>
      <c r="D16" s="310"/>
      <c r="E16" s="316"/>
      <c r="F16" s="310"/>
      <c r="G16" s="319"/>
      <c r="H16" s="310"/>
      <c r="I16" s="316"/>
      <c r="J16" s="310"/>
      <c r="K16" s="180"/>
    </row>
    <row r="17" spans="1:11" ht="15" customHeight="1">
      <c r="A17" s="313" t="s">
        <v>58</v>
      </c>
      <c r="B17" s="312">
        <f>SUM(B9:B16)</f>
        <v>0</v>
      </c>
      <c r="C17" s="313" t="s">
        <v>58</v>
      </c>
      <c r="D17" s="312">
        <f>SUM(D9:D16)</f>
        <v>0</v>
      </c>
      <c r="E17" s="313" t="s">
        <v>58</v>
      </c>
      <c r="F17" s="382">
        <f>SUM(F9:F16)</f>
        <v>0</v>
      </c>
      <c r="G17" s="313" t="s">
        <v>58</v>
      </c>
      <c r="H17" s="312">
        <f>SUM(H9:H16)</f>
        <v>0</v>
      </c>
      <c r="I17" s="313" t="s">
        <v>58</v>
      </c>
      <c r="J17" s="312">
        <f>SUM(J9:J16)</f>
        <v>0</v>
      </c>
      <c r="K17" s="312">
        <f>SUM(B17+D17+F17+H17+J17)</f>
        <v>0</v>
      </c>
    </row>
    <row r="18" spans="1:11" ht="15" customHeight="1">
      <c r="A18" s="313" t="s">
        <v>59</v>
      </c>
      <c r="B18" s="312">
        <f>SUM(B7+B17)</f>
        <v>0</v>
      </c>
      <c r="C18" s="313" t="s">
        <v>59</v>
      </c>
      <c r="D18" s="312">
        <f>SUM(D7+D17)</f>
        <v>0</v>
      </c>
      <c r="E18" s="313" t="s">
        <v>59</v>
      </c>
      <c r="F18" s="312">
        <f>SUM(F7+F17)</f>
        <v>0</v>
      </c>
      <c r="G18" s="313" t="s">
        <v>59</v>
      </c>
      <c r="H18" s="312">
        <f>SUM(H7+H17)</f>
        <v>0</v>
      </c>
      <c r="I18" s="313" t="s">
        <v>59</v>
      </c>
      <c r="J18" s="312">
        <f>SUM(J7+J17)</f>
        <v>0</v>
      </c>
      <c r="K18" s="312">
        <f>SUM(B18+D18+F18+H18+J18)</f>
        <v>0</v>
      </c>
    </row>
    <row r="19" spans="1:11" ht="15" customHeight="1">
      <c r="A19" s="313" t="s">
        <v>62</v>
      </c>
      <c r="B19" s="314"/>
      <c r="C19" s="313" t="s">
        <v>62</v>
      </c>
      <c r="D19" s="315"/>
      <c r="E19" s="313" t="s">
        <v>62</v>
      </c>
      <c r="F19" s="180"/>
      <c r="G19" s="313" t="s">
        <v>62</v>
      </c>
      <c r="H19" s="80"/>
      <c r="I19" s="313" t="s">
        <v>62</v>
      </c>
      <c r="J19" s="80"/>
      <c r="K19" s="180"/>
    </row>
    <row r="20" spans="1:11" ht="15" customHeight="1">
      <c r="A20" s="316"/>
      <c r="B20" s="310"/>
      <c r="C20" s="319"/>
      <c r="D20" s="310"/>
      <c r="E20" s="319"/>
      <c r="F20" s="310"/>
      <c r="G20" s="319"/>
      <c r="H20" s="310"/>
      <c r="I20" s="319"/>
      <c r="J20" s="310"/>
      <c r="K20" s="180"/>
    </row>
    <row r="21" spans="1:11" ht="15" customHeight="1">
      <c r="A21" s="316"/>
      <c r="B21" s="310"/>
      <c r="C21" s="319"/>
      <c r="D21" s="310"/>
      <c r="E21" s="319"/>
      <c r="F21" s="310"/>
      <c r="G21" s="319"/>
      <c r="H21" s="310"/>
      <c r="I21" s="319"/>
      <c r="J21" s="310"/>
      <c r="K21" s="180"/>
    </row>
    <row r="22" spans="1:11" ht="15" customHeight="1">
      <c r="A22" s="316"/>
      <c r="B22" s="310"/>
      <c r="C22" s="321"/>
      <c r="D22" s="310"/>
      <c r="E22" s="321"/>
      <c r="F22" s="310"/>
      <c r="G22" s="321"/>
      <c r="H22" s="310"/>
      <c r="I22" s="318"/>
      <c r="J22" s="310"/>
      <c r="K22" s="180"/>
    </row>
    <row r="23" spans="1:11" ht="15" customHeight="1">
      <c r="A23" s="316"/>
      <c r="B23" s="310"/>
      <c r="C23" s="319"/>
      <c r="D23" s="310"/>
      <c r="E23" s="319"/>
      <c r="F23" s="310"/>
      <c r="G23" s="319"/>
      <c r="H23" s="310"/>
      <c r="I23" s="319"/>
      <c r="J23" s="310"/>
      <c r="K23" s="180"/>
    </row>
    <row r="24" spans="1:11" ht="15" customHeight="1">
      <c r="A24" s="316"/>
      <c r="B24" s="310"/>
      <c r="C24" s="321"/>
      <c r="D24" s="310"/>
      <c r="E24" s="321"/>
      <c r="F24" s="310"/>
      <c r="G24" s="321"/>
      <c r="H24" s="310"/>
      <c r="I24" s="318"/>
      <c r="J24" s="310"/>
      <c r="K24" s="180"/>
    </row>
    <row r="25" spans="1:11" ht="15" customHeight="1">
      <c r="A25" s="316"/>
      <c r="B25" s="310"/>
      <c r="C25" s="319"/>
      <c r="D25" s="310"/>
      <c r="E25" s="319"/>
      <c r="F25" s="310"/>
      <c r="G25" s="319"/>
      <c r="H25" s="310"/>
      <c r="I25" s="319"/>
      <c r="J25" s="310"/>
      <c r="K25" s="180"/>
    </row>
    <row r="26" spans="1:11" ht="15" customHeight="1">
      <c r="A26" s="316"/>
      <c r="B26" s="310"/>
      <c r="C26" s="319"/>
      <c r="D26" s="310"/>
      <c r="E26" s="319"/>
      <c r="F26" s="310"/>
      <c r="G26" s="319"/>
      <c r="H26" s="310"/>
      <c r="I26" s="319"/>
      <c r="J26" s="310"/>
      <c r="K26" s="180"/>
    </row>
    <row r="27" spans="1:11" ht="15" customHeight="1">
      <c r="A27" s="316"/>
      <c r="B27" s="310"/>
      <c r="C27" s="316"/>
      <c r="D27" s="310"/>
      <c r="E27" s="316"/>
      <c r="F27" s="310"/>
      <c r="G27" s="319"/>
      <c r="H27" s="310"/>
      <c r="I27" s="319"/>
      <c r="J27" s="310"/>
      <c r="K27" s="180"/>
    </row>
    <row r="28" spans="1:11" ht="15" customHeight="1">
      <c r="A28" s="313" t="s">
        <v>63</v>
      </c>
      <c r="B28" s="312">
        <f>SUM(B20:B27)</f>
        <v>0</v>
      </c>
      <c r="C28" s="313" t="s">
        <v>63</v>
      </c>
      <c r="D28" s="312">
        <f>SUM(D20:D27)</f>
        <v>0</v>
      </c>
      <c r="E28" s="313" t="s">
        <v>63</v>
      </c>
      <c r="F28" s="382">
        <f>SUM(F20:F27)</f>
        <v>0</v>
      </c>
      <c r="G28" s="313" t="s">
        <v>63</v>
      </c>
      <c r="H28" s="382">
        <f>SUM(H20:H27)</f>
        <v>0</v>
      </c>
      <c r="I28" s="313" t="s">
        <v>63</v>
      </c>
      <c r="J28" s="312">
        <f>SUM(J20:J27)</f>
        <v>0</v>
      </c>
      <c r="K28" s="312">
        <f>SUM(B28+D28+F28+H28+J28)</f>
        <v>0</v>
      </c>
    </row>
    <row r="29" spans="1:12" ht="15" customHeight="1">
      <c r="A29" s="313" t="s">
        <v>258</v>
      </c>
      <c r="B29" s="312">
        <f>SUM(B18-B28)</f>
        <v>0</v>
      </c>
      <c r="C29" s="313" t="s">
        <v>258</v>
      </c>
      <c r="D29" s="312">
        <f>SUM(D18-D28)</f>
        <v>0</v>
      </c>
      <c r="E29" s="313" t="s">
        <v>258</v>
      </c>
      <c r="F29" s="312">
        <f>SUM(F18-F28)</f>
        <v>0</v>
      </c>
      <c r="G29" s="313" t="s">
        <v>258</v>
      </c>
      <c r="H29" s="312">
        <f>SUM(H18-H28)</f>
        <v>0</v>
      </c>
      <c r="I29" s="313" t="s">
        <v>258</v>
      </c>
      <c r="J29" s="312">
        <f>SUM(J18-J28)</f>
        <v>0</v>
      </c>
      <c r="K29" s="322">
        <f>SUM(B29+D29+F29+H29+J29)</f>
        <v>0</v>
      </c>
      <c r="L29" s="31" t="s">
        <v>282</v>
      </c>
    </row>
    <row r="30" spans="1:12" ht="15" customHeight="1">
      <c r="A30" s="313"/>
      <c r="B30" s="323">
        <f>IF(B29&lt;0,"See Tab B","")</f>
      </c>
      <c r="C30" s="313"/>
      <c r="D30" s="323">
        <f>IF(D29&lt;0,"See Tab B","")</f>
      </c>
      <c r="E30" s="313"/>
      <c r="F30" s="323">
        <f>IF(F29&lt;0,"See Tab B","")</f>
      </c>
      <c r="G30" s="80"/>
      <c r="H30" s="323">
        <f>IF(H29&lt;0,"See Tab B","")</f>
      </c>
      <c r="I30" s="80"/>
      <c r="J30" s="323">
        <f>IF(J29&lt;0,"See Tab B","")</f>
      </c>
      <c r="K30" s="322">
        <f>SUM(K7+K17-K28)</f>
        <v>0</v>
      </c>
      <c r="L30" s="31" t="s">
        <v>282</v>
      </c>
    </row>
    <row r="31" spans="1:11" ht="15" customHeight="1">
      <c r="A31" s="80"/>
      <c r="B31" s="167"/>
      <c r="C31" s="80"/>
      <c r="D31" s="180"/>
      <c r="E31" s="80"/>
      <c r="F31" s="80"/>
      <c r="G31" s="40" t="s">
        <v>285</v>
      </c>
      <c r="H31" s="40"/>
      <c r="I31" s="40"/>
      <c r="J31" s="40"/>
      <c r="K31" s="80"/>
    </row>
    <row r="32" spans="1:11" ht="15" customHeight="1">
      <c r="A32" s="80"/>
      <c r="B32" s="167"/>
      <c r="C32" s="80"/>
      <c r="D32" s="80"/>
      <c r="E32" s="80"/>
      <c r="F32" s="80"/>
      <c r="G32" s="80"/>
      <c r="H32" s="80"/>
      <c r="I32" s="80"/>
      <c r="J32" s="80"/>
      <c r="K32" s="80"/>
    </row>
    <row r="33" spans="1:11" ht="15" customHeight="1">
      <c r="A33" s="80"/>
      <c r="B33" s="167"/>
      <c r="C33" s="80"/>
      <c r="D33" s="80"/>
      <c r="E33" s="265" t="s">
        <v>115</v>
      </c>
      <c r="F33" s="709"/>
      <c r="G33" s="80"/>
      <c r="H33" s="80"/>
      <c r="I33" s="80"/>
      <c r="J33" s="80"/>
      <c r="K33" s="80"/>
    </row>
    <row r="34" ht="15" customHeight="1">
      <c r="B34" s="324"/>
    </row>
    <row r="35" ht="15" customHeight="1">
      <c r="B35" s="324"/>
    </row>
    <row r="36" ht="15" customHeight="1">
      <c r="B36" s="324"/>
    </row>
    <row r="37" ht="15" customHeight="1">
      <c r="B37" s="324"/>
    </row>
    <row r="38" ht="15" customHeight="1">
      <c r="B38" s="324"/>
    </row>
    <row r="39" ht="15" customHeight="1">
      <c r="B39" s="324"/>
    </row>
    <row r="40" ht="15" customHeight="1">
      <c r="B40" s="324"/>
    </row>
    <row r="41" ht="15" customHeight="1">
      <c r="B41" s="324"/>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County</oddHeader>
  </headerFooter>
</worksheet>
</file>

<file path=xl/worksheets/sheet35.xml><?xml version="1.0" encoding="utf-8"?>
<worksheet xmlns="http://schemas.openxmlformats.org/spreadsheetml/2006/main" xmlns:r="http://schemas.openxmlformats.org/officeDocument/2006/relationships">
  <dimension ref="A1:A48"/>
  <sheetViews>
    <sheetView zoomScalePageLayoutView="0" workbookViewId="0" topLeftCell="A1">
      <selection activeCell="O94" sqref="O94"/>
    </sheetView>
  </sheetViews>
  <sheetFormatPr defaultColWidth="8.796875" defaultRowHeight="15"/>
  <cols>
    <col min="1" max="1" width="62.3984375" style="26" customWidth="1"/>
    <col min="2" max="16384" width="8.8984375" style="26" customWidth="1"/>
  </cols>
  <sheetData>
    <row r="1" ht="18.75">
      <c r="A1" s="27" t="s">
        <v>370</v>
      </c>
    </row>
    <row r="2" ht="15.75">
      <c r="A2" s="31"/>
    </row>
    <row r="3" ht="54.75" customHeight="1">
      <c r="A3" s="349" t="s">
        <v>371</v>
      </c>
    </row>
    <row r="4" ht="15.75">
      <c r="A4" s="350"/>
    </row>
    <row r="5" ht="51" customHeight="1">
      <c r="A5" s="349" t="s">
        <v>372</v>
      </c>
    </row>
    <row r="6" ht="15.75">
      <c r="A6" s="31"/>
    </row>
    <row r="7" ht="51.75" customHeight="1">
      <c r="A7" s="349" t="s">
        <v>373</v>
      </c>
    </row>
    <row r="8" ht="13.5" customHeight="1">
      <c r="A8" s="349"/>
    </row>
    <row r="9" ht="51.75" customHeight="1">
      <c r="A9" s="355" t="s">
        <v>680</v>
      </c>
    </row>
    <row r="10" ht="15.75">
      <c r="A10" s="350"/>
    </row>
    <row r="11" ht="36" customHeight="1">
      <c r="A11" s="349" t="s">
        <v>374</v>
      </c>
    </row>
    <row r="12" ht="15.75">
      <c r="A12" s="31"/>
    </row>
    <row r="13" ht="51.75" customHeight="1">
      <c r="A13" s="349" t="s">
        <v>375</v>
      </c>
    </row>
    <row r="14" ht="15.75">
      <c r="A14" s="350"/>
    </row>
    <row r="15" ht="33" customHeight="1">
      <c r="A15" s="349" t="s">
        <v>376</v>
      </c>
    </row>
    <row r="16" ht="15.75">
      <c r="A16" s="350"/>
    </row>
    <row r="17" ht="32.25" customHeight="1">
      <c r="A17" s="349" t="s">
        <v>377</v>
      </c>
    </row>
    <row r="18" ht="15.75">
      <c r="A18" s="350"/>
    </row>
    <row r="19" ht="53.25" customHeight="1">
      <c r="A19" s="349" t="s">
        <v>378</v>
      </c>
    </row>
    <row r="20" ht="15.75">
      <c r="A20" s="31"/>
    </row>
    <row r="21" ht="50.25" customHeight="1">
      <c r="A21" s="349" t="s">
        <v>379</v>
      </c>
    </row>
    <row r="22" ht="15.75">
      <c r="A22" s="31"/>
    </row>
    <row r="23" ht="15.75">
      <c r="A23" s="31"/>
    </row>
    <row r="24" ht="96" customHeight="1">
      <c r="A24" s="349" t="s">
        <v>380</v>
      </c>
    </row>
    <row r="25" ht="15.75">
      <c r="A25" s="31"/>
    </row>
    <row r="26" ht="30.75" customHeight="1">
      <c r="A26" s="33" t="s">
        <v>381</v>
      </c>
    </row>
    <row r="27" ht="15.75">
      <c r="A27" s="31"/>
    </row>
    <row r="28" ht="95.25" customHeight="1">
      <c r="A28" s="354" t="s">
        <v>681</v>
      </c>
    </row>
    <row r="29" ht="15.75">
      <c r="A29" s="31"/>
    </row>
    <row r="30" ht="34.5" customHeight="1">
      <c r="A30" s="349" t="s">
        <v>382</v>
      </c>
    </row>
    <row r="31" ht="15.75">
      <c r="A31" s="31"/>
    </row>
    <row r="32" ht="66" customHeight="1">
      <c r="A32" s="349" t="s">
        <v>383</v>
      </c>
    </row>
    <row r="33" ht="15.75">
      <c r="A33" s="350"/>
    </row>
    <row r="34" ht="57" customHeight="1">
      <c r="A34" s="349" t="s">
        <v>384</v>
      </c>
    </row>
    <row r="35" ht="15.75">
      <c r="A35" s="31"/>
    </row>
    <row r="36" ht="49.5" customHeight="1">
      <c r="A36" s="349" t="s">
        <v>385</v>
      </c>
    </row>
    <row r="37" ht="15.75">
      <c r="A37" s="31"/>
    </row>
    <row r="38" ht="74.25" customHeight="1">
      <c r="A38" s="354" t="s">
        <v>682</v>
      </c>
    </row>
    <row r="39" ht="15.75">
      <c r="A39" s="31"/>
    </row>
    <row r="40" ht="55.5" customHeight="1">
      <c r="A40" s="349" t="s">
        <v>386</v>
      </c>
    </row>
    <row r="41" ht="15.75">
      <c r="A41" s="31"/>
    </row>
    <row r="42" ht="53.25" customHeight="1">
      <c r="A42" s="349" t="s">
        <v>387</v>
      </c>
    </row>
    <row r="43" ht="15.75">
      <c r="A43" s="350"/>
    </row>
    <row r="44" ht="47.25" customHeight="1">
      <c r="A44" s="349" t="s">
        <v>388</v>
      </c>
    </row>
    <row r="45" ht="15.75">
      <c r="A45" s="350"/>
    </row>
    <row r="46" ht="49.5" customHeight="1">
      <c r="A46" s="349" t="s">
        <v>389</v>
      </c>
    </row>
    <row r="47" ht="15.75">
      <c r="A47" s="350"/>
    </row>
    <row r="48" ht="36" customHeight="1">
      <c r="A48" s="349" t="s">
        <v>390</v>
      </c>
    </row>
  </sheetData>
  <sheetProtection sheet="1"/>
  <printOptions/>
  <pageMargins left="0.7" right="0.7" top="0.75" bottom="0.75" header="0.3" footer="0.3"/>
  <pageSetup horizontalDpi="600" verticalDpi="600" orientation="portrait" r:id="rId1"/>
</worksheet>
</file>

<file path=xl/worksheets/sheet36.xml><?xml version="1.0" encoding="utf-8"?>
<worksheet xmlns="http://schemas.openxmlformats.org/spreadsheetml/2006/main" xmlns:r="http://schemas.openxmlformats.org/officeDocument/2006/relationships">
  <sheetPr>
    <pageSetUpPr fitToPage="1"/>
  </sheetPr>
  <dimension ref="A1:M69"/>
  <sheetViews>
    <sheetView zoomScalePageLayoutView="0" workbookViewId="0" topLeftCell="A1">
      <selection activeCell="O120" sqref="O120"/>
    </sheetView>
  </sheetViews>
  <sheetFormatPr defaultColWidth="8.796875" defaultRowHeight="15"/>
  <cols>
    <col min="1" max="1" width="15.796875" style="31" customWidth="1"/>
    <col min="2" max="2" width="15.69921875" style="31" customWidth="1"/>
    <col min="3" max="3" width="9.3984375" style="31" customWidth="1"/>
    <col min="4" max="4" width="16.796875" style="31" customWidth="1"/>
    <col min="5" max="5" width="9.796875" style="31" customWidth="1"/>
    <col min="6" max="6" width="15.796875" style="31" customWidth="1"/>
    <col min="7" max="7" width="13.69921875" style="31" customWidth="1"/>
    <col min="8" max="8" width="9.796875" style="31" customWidth="1"/>
    <col min="9" max="9" width="8.8984375" style="31" customWidth="1"/>
    <col min="10" max="10" width="12.3984375" style="31" customWidth="1"/>
    <col min="11" max="11" width="12.296875" style="31" customWidth="1"/>
    <col min="12" max="12" width="10.59765625" style="31" customWidth="1"/>
    <col min="13" max="13" width="12.09765625" style="31" customWidth="1"/>
    <col min="14" max="16384" width="8.8984375" style="31" customWidth="1"/>
  </cols>
  <sheetData>
    <row r="1" spans="1:8" ht="15.75">
      <c r="A1" s="45"/>
      <c r="B1" s="45"/>
      <c r="C1" s="45"/>
      <c r="D1" s="45"/>
      <c r="E1" s="45"/>
      <c r="F1" s="45"/>
      <c r="G1" s="45"/>
      <c r="H1" s="230">
        <f>inputPrYr!C5</f>
        <v>0</v>
      </c>
    </row>
    <row r="2" spans="1:9" ht="15.75">
      <c r="A2" s="825" t="s">
        <v>157</v>
      </c>
      <c r="B2" s="825"/>
      <c r="C2" s="825"/>
      <c r="D2" s="825"/>
      <c r="E2" s="825"/>
      <c r="F2" s="825"/>
      <c r="G2" s="825"/>
      <c r="H2" s="825"/>
      <c r="I2" s="325"/>
    </row>
    <row r="3" spans="1:8" ht="15.75">
      <c r="A3" s="45"/>
      <c r="B3" s="45"/>
      <c r="C3" s="45"/>
      <c r="D3" s="45"/>
      <c r="E3" s="45"/>
      <c r="F3" s="45"/>
      <c r="G3" s="45"/>
      <c r="H3" s="45"/>
    </row>
    <row r="4" spans="1:8" ht="15.75">
      <c r="A4" s="828" t="s">
        <v>186</v>
      </c>
      <c r="B4" s="828"/>
      <c r="C4" s="828"/>
      <c r="D4" s="828"/>
      <c r="E4" s="828"/>
      <c r="F4" s="828"/>
      <c r="G4" s="828"/>
      <c r="H4" s="828"/>
    </row>
    <row r="5" spans="1:8" ht="15.75">
      <c r="A5" s="803">
        <f>inputPrYr!C3</f>
        <v>0</v>
      </c>
      <c r="B5" s="803"/>
      <c r="C5" s="803"/>
      <c r="D5" s="803"/>
      <c r="E5" s="803"/>
      <c r="F5" s="803"/>
      <c r="G5" s="803"/>
      <c r="H5" s="803"/>
    </row>
    <row r="6" spans="1:8" ht="15.75">
      <c r="A6" s="828" t="str">
        <f>CONCATENATE("will meet on ",inputBudSum!B5," at ",inputBudSum!B7," at ",inputBudSum!B9," for the purpose of hearing and")</f>
        <v>will meet on  at  at  for the purpose of hearing and</v>
      </c>
      <c r="B6" s="828"/>
      <c r="C6" s="828"/>
      <c r="D6" s="828"/>
      <c r="E6" s="828"/>
      <c r="F6" s="828"/>
      <c r="G6" s="828"/>
      <c r="H6" s="828"/>
    </row>
    <row r="7" spans="1:8" ht="15.75">
      <c r="A7" s="828" t="s">
        <v>650</v>
      </c>
      <c r="B7" s="828"/>
      <c r="C7" s="828"/>
      <c r="D7" s="828"/>
      <c r="E7" s="828"/>
      <c r="F7" s="828"/>
      <c r="G7" s="828"/>
      <c r="H7" s="828"/>
    </row>
    <row r="8" spans="1:8" ht="15.75">
      <c r="A8" s="828" t="str">
        <f>CONCATENATE("Detailed budget information is available at ",inputBudSum!B12," and will be available at this hearing.")</f>
        <v>Detailed budget information is available at  and will be available at this hearing.</v>
      </c>
      <c r="B8" s="828"/>
      <c r="C8" s="828"/>
      <c r="D8" s="828"/>
      <c r="E8" s="828"/>
      <c r="F8" s="828"/>
      <c r="G8" s="828"/>
      <c r="H8" s="828"/>
    </row>
    <row r="9" spans="1:8" ht="15.75">
      <c r="A9" s="51" t="s">
        <v>158</v>
      </c>
      <c r="B9" s="52"/>
      <c r="C9" s="52"/>
      <c r="D9" s="109"/>
      <c r="E9" s="52"/>
      <c r="F9" s="52"/>
      <c r="G9" s="52"/>
      <c r="H9" s="52"/>
    </row>
    <row r="10" spans="1:8" ht="15.75">
      <c r="A10" s="828" t="str">
        <f>CONCATENATE("Proposed Budget ",H1," Expenditures and Amount of ",H1-1," Ad Valorem Tax establish the maximum limits of the ",H1," budget.")</f>
        <v>Proposed Budget 0 Expenditures and Amount of -1 Ad Valorem Tax establish the maximum limits of the 0 budget.</v>
      </c>
      <c r="B10" s="828"/>
      <c r="C10" s="828"/>
      <c r="D10" s="828"/>
      <c r="E10" s="828"/>
      <c r="F10" s="828"/>
      <c r="G10" s="828"/>
      <c r="H10" s="828"/>
    </row>
    <row r="11" spans="1:8" ht="15.75">
      <c r="A11" s="828" t="s">
        <v>202</v>
      </c>
      <c r="B11" s="828"/>
      <c r="C11" s="828"/>
      <c r="D11" s="828"/>
      <c r="E11" s="828"/>
      <c r="F11" s="828"/>
      <c r="G11" s="828"/>
      <c r="H11" s="828"/>
    </row>
    <row r="12" spans="1:9" ht="15.75">
      <c r="A12" s="45"/>
      <c r="B12" s="45"/>
      <c r="C12" s="45"/>
      <c r="D12" s="45"/>
      <c r="E12" s="45"/>
      <c r="F12" s="45"/>
      <c r="G12" s="45"/>
      <c r="H12" s="45"/>
      <c r="I12" s="89"/>
    </row>
    <row r="13" spans="1:8" ht="15.75">
      <c r="A13" s="45"/>
      <c r="B13" s="326" t="str">
        <f>CONCATENATE("Prior Year Actual for ",H1-2,"")</f>
        <v>Prior Year Actual for -2</v>
      </c>
      <c r="C13" s="113"/>
      <c r="D13" s="327" t="str">
        <f>CONCATENATE("Current Year Estimate for ",H1-1,"")</f>
        <v>Current Year Estimate for -1</v>
      </c>
      <c r="E13" s="113"/>
      <c r="F13" s="111" t="str">
        <f>CONCATENATE("Proposed Budget for ",H1,"")</f>
        <v>Proposed Budget for 0</v>
      </c>
      <c r="G13" s="112"/>
      <c r="H13" s="113"/>
    </row>
    <row r="14" spans="1:8" ht="18.75" customHeight="1">
      <c r="A14" s="44"/>
      <c r="B14" s="283"/>
      <c r="C14" s="114" t="s">
        <v>116</v>
      </c>
      <c r="D14" s="114"/>
      <c r="E14" s="114" t="s">
        <v>116</v>
      </c>
      <c r="F14" s="421" t="s">
        <v>665</v>
      </c>
      <c r="G14" s="114" t="str">
        <f>CONCATENATE("Amount of ",H1-1,"")</f>
        <v>Amount of -1</v>
      </c>
      <c r="H14" s="114" t="s">
        <v>117</v>
      </c>
    </row>
    <row r="15" spans="1:8" ht="15.75">
      <c r="A15" s="67" t="s">
        <v>118</v>
      </c>
      <c r="B15" s="207" t="s">
        <v>28</v>
      </c>
      <c r="C15" s="207" t="s">
        <v>119</v>
      </c>
      <c r="D15" s="207" t="s">
        <v>224</v>
      </c>
      <c r="E15" s="207" t="s">
        <v>119</v>
      </c>
      <c r="F15" s="422" t="s">
        <v>666</v>
      </c>
      <c r="G15" s="328" t="s">
        <v>50</v>
      </c>
      <c r="H15" s="207" t="s">
        <v>119</v>
      </c>
    </row>
    <row r="16" spans="1:8" ht="15.75">
      <c r="A16" s="81" t="str">
        <f>inputPrYr!B17</f>
        <v>General</v>
      </c>
      <c r="B16" s="81" t="str">
        <f>IF(general!$C$117&lt;&gt;0,general!$C$117,"  ")</f>
        <v>  </v>
      </c>
      <c r="C16" s="329" t="str">
        <f>IF(inputPrYr!D69&lt;&gt;0,inputPrYr!D69,"  ")</f>
        <v>  </v>
      </c>
      <c r="D16" s="81" t="str">
        <f>IF(general!$D$117&lt;&gt;0,general!$D$117,"  ")</f>
        <v>  </v>
      </c>
      <c r="E16" s="329" t="str">
        <f>IF(inputPrYr!F17&lt;&gt;0,inputPrYr!F17,"  ")</f>
        <v>  </v>
      </c>
      <c r="F16" s="81" t="str">
        <f>IF(general!$E$117&lt;&gt;0,general!$E$117,"  ")</f>
        <v>  </v>
      </c>
      <c r="G16" s="81" t="str">
        <f>IF(general!$E$124&lt;&gt;0,general!$E$124,"  ")</f>
        <v>  </v>
      </c>
      <c r="H16" s="329" t="str">
        <f>IF(general!E124&lt;&gt;0,ROUND(G16/$F$56*1000,3),"  ")</f>
        <v>  </v>
      </c>
    </row>
    <row r="17" spans="1:8" ht="15.75">
      <c r="A17" s="81" t="str">
        <f>inputPrYr!B18</f>
        <v>Debt Service</v>
      </c>
      <c r="B17" s="81" t="str">
        <f>IF(DebtService!$C$52&lt;&gt;0,DebtService!$C$52,"  ")</f>
        <v>  </v>
      </c>
      <c r="C17" s="329" t="str">
        <f>IF(inputPrYr!D70&lt;&gt;0,inputPrYr!D70,"  ")</f>
        <v>  </v>
      </c>
      <c r="D17" s="81" t="str">
        <f>IF(DebtService!$D$52&lt;&gt;0,DebtService!$D$52,"  ")</f>
        <v>  </v>
      </c>
      <c r="E17" s="329" t="str">
        <f>IF(inputPrYr!F18&lt;&gt;0,inputPrYr!F18,"  ")</f>
        <v>  </v>
      </c>
      <c r="F17" s="81" t="str">
        <f>IF(DebtService!$E$52&lt;&gt;0,DebtService!$E$52,"  ")</f>
        <v>  </v>
      </c>
      <c r="G17" s="81" t="str">
        <f>IF(DebtService!$E$59&lt;&gt;0,DebtService!$E$59,"  ")</f>
        <v>  </v>
      </c>
      <c r="H17" s="329" t="str">
        <f>IF(DebtService!E59&lt;&gt;0,ROUND(G17/$F$56*1000,3),"  ")</f>
        <v>  </v>
      </c>
    </row>
    <row r="18" spans="1:8" ht="15.75">
      <c r="A18" s="81" t="str">
        <f>IF((inputPrYr!$B19&gt;" "),(inputPrYr!$B19),"  ")</f>
        <v>Road &amp; Bridge</v>
      </c>
      <c r="B18" s="81" t="str">
        <f>IF(road!$C$113&lt;&gt;0,road!$C$113,"  ")</f>
        <v>  </v>
      </c>
      <c r="C18" s="329" t="str">
        <f>IF(inputPrYr!D71&lt;&gt;0,inputPrYr!D71,"  ")</f>
        <v>  </v>
      </c>
      <c r="D18" s="81" t="str">
        <f>IF(road!$D$113&lt;&gt;0,road!$D$113,"  ")</f>
        <v>  </v>
      </c>
      <c r="E18" s="329" t="str">
        <f>IF(inputPrYr!F19&lt;&gt;0,inputPrYr!F19,"  ")</f>
        <v>  </v>
      </c>
      <c r="F18" s="81" t="str">
        <f>IF(road!$E$113&lt;&gt;0,road!$E$113,"  ")</f>
        <v>  </v>
      </c>
      <c r="G18" s="81" t="str">
        <f>IF(road!$E$120&lt;&gt;0,road!$E$120,"  ")</f>
        <v>  </v>
      </c>
      <c r="H18" s="329" t="str">
        <f>IF(road!E120&lt;&gt;0,ROUND(G18/$F$56*1000,3),"  ")</f>
        <v>  </v>
      </c>
    </row>
    <row r="19" spans="1:8" ht="15.75">
      <c r="A19" s="81" t="str">
        <f>IF((inputPrYr!$B20&gt;" "),(inputPrYr!$B20),"  ")</f>
        <v>  </v>
      </c>
      <c r="B19" s="81" t="str">
        <f>IF('levy page10'!$C$35&lt;&gt;0,'levy page10'!$C$35,"  ")</f>
        <v>  </v>
      </c>
      <c r="C19" s="329" t="str">
        <f>IF(inputPrYr!D72&lt;&gt;0,inputPrYr!D72,"  ")</f>
        <v>  </v>
      </c>
      <c r="D19" s="81" t="str">
        <f>IF('levy page10'!$D$35&lt;&gt;0,'levy page10'!$D$35,"  ")</f>
        <v>  </v>
      </c>
      <c r="E19" s="329" t="str">
        <f>IF(inputPrYr!F20&lt;&gt;0,inputPrYr!F20,"  ")</f>
        <v>  </v>
      </c>
      <c r="F19" s="81" t="str">
        <f>IF('levy page10'!$E$35&lt;&gt;0,'levy page10'!$E$35,"  ")</f>
        <v>  </v>
      </c>
      <c r="G19" s="81" t="str">
        <f>IF('levy page10'!$E$42&lt;&gt;0,'levy page10'!$E$42,"  ")</f>
        <v>  </v>
      </c>
      <c r="H19" s="329" t="str">
        <f>IF('levy page10'!E42&lt;&gt;0,ROUND(G19/$F$56*1000,3),"  ")</f>
        <v>  </v>
      </c>
    </row>
    <row r="20" spans="1:8" ht="15.75">
      <c r="A20" s="81" t="str">
        <f>IF((inputPrYr!$B21&gt;" "),(inputPrYr!$B21),"  ")</f>
        <v>  </v>
      </c>
      <c r="B20" s="81" t="str">
        <f>IF('levy page10'!$C$77&lt;&gt;0,'levy page10'!$C$77,"  ")</f>
        <v>  </v>
      </c>
      <c r="C20" s="329" t="str">
        <f>IF(inputPrYr!D73&lt;&gt;0,inputPrYr!D73,"  ")</f>
        <v>  </v>
      </c>
      <c r="D20" s="81" t="str">
        <f>IF('levy page10'!$D$77&lt;&gt;0,'levy page10'!$D$77,"  ")</f>
        <v>  </v>
      </c>
      <c r="E20" s="329" t="str">
        <f>IF(inputPrYr!F21&lt;&gt;0,inputPrYr!F21,"  ")</f>
        <v>  </v>
      </c>
      <c r="F20" s="81" t="str">
        <f>IF('levy page10'!$E$77&lt;&gt;0,'levy page10'!$E$77,"  ")</f>
        <v>  </v>
      </c>
      <c r="G20" s="81" t="str">
        <f>IF('levy page10'!$E$84&lt;&gt;0,'levy page10'!$E$84,"  ")</f>
        <v>  </v>
      </c>
      <c r="H20" s="329" t="str">
        <f>IF('levy page10'!E84&lt;&gt;0,ROUND(G20/$F$56*1000,3),"  ")</f>
        <v>  </v>
      </c>
    </row>
    <row r="21" spans="1:8" ht="15.75">
      <c r="A21" s="81" t="str">
        <f>IF((inputPrYr!$B22&gt;" "),(inputPrYr!$B22),"  ")</f>
        <v>  </v>
      </c>
      <c r="B21" s="81" t="str">
        <f>IF('levy page11'!$C$35&lt;&gt;0,'levy page11'!$C$35,"  ")</f>
        <v>  </v>
      </c>
      <c r="C21" s="329" t="str">
        <f>IF(inputPrYr!D74&lt;&gt;0,inputPrYr!D74,"  ")</f>
        <v>  </v>
      </c>
      <c r="D21" s="81" t="str">
        <f>IF('levy page11'!$D$35&lt;&gt;0,'levy page11'!$D$35,"  ")</f>
        <v>  </v>
      </c>
      <c r="E21" s="329" t="str">
        <f>IF(inputPrYr!F22&lt;&gt;0,inputPrYr!F22,"  ")</f>
        <v>  </v>
      </c>
      <c r="F21" s="81" t="str">
        <f>IF('levy page11'!$E$35&lt;&gt;0,'levy page11'!$E$35,"  ")</f>
        <v>  </v>
      </c>
      <c r="G21" s="81" t="str">
        <f>IF('levy page11'!$E$42&lt;&gt;0,'levy page11'!$E$42,"  ")</f>
        <v>  </v>
      </c>
      <c r="H21" s="329" t="str">
        <f>IF('levy page11'!E42&lt;&gt;0,ROUND(G21/$F$56*1000,3),"  ")</f>
        <v>  </v>
      </c>
    </row>
    <row r="22" spans="1:8" ht="15.75">
      <c r="A22" s="81" t="str">
        <f>IF((inputPrYr!$B23&gt;" "),(inputPrYr!$B23),"  ")</f>
        <v>  </v>
      </c>
      <c r="B22" s="81" t="str">
        <f>IF('levy page11'!$C$77&lt;&gt;0,'levy page11'!$C$77,"  ")</f>
        <v>  </v>
      </c>
      <c r="C22" s="329" t="str">
        <f>IF(inputPrYr!D75&lt;&gt;0,inputPrYr!D75,"  ")</f>
        <v>  </v>
      </c>
      <c r="D22" s="81" t="str">
        <f>IF('levy page11'!$D$77&lt;&gt;0,'levy page11'!$D$77,"  ")</f>
        <v>  </v>
      </c>
      <c r="E22" s="329" t="str">
        <f>IF(inputPrYr!F23&lt;&gt;0,inputPrYr!F23,"  ")</f>
        <v>  </v>
      </c>
      <c r="F22" s="81" t="str">
        <f>IF('levy page11'!$E$77&lt;&gt;0,'levy page11'!$E$77,"  ")</f>
        <v>  </v>
      </c>
      <c r="G22" s="81" t="str">
        <f>IF('levy page11'!$E$84&lt;&gt;0,'levy page11'!$E$84,"  ")</f>
        <v>  </v>
      </c>
      <c r="H22" s="329" t="str">
        <f>IF('levy page11'!$E$84&lt;&gt;0,ROUND(G22/$F$56*1000,3),"  ")</f>
        <v>  </v>
      </c>
    </row>
    <row r="23" spans="1:8" ht="15.75">
      <c r="A23" s="81" t="str">
        <f>IF((inputPrYr!$B24&gt;" "),(inputPrYr!$B24),"  ")</f>
        <v>  </v>
      </c>
      <c r="B23" s="81" t="str">
        <f>IF('levy page12'!$C$35&lt;&gt;0,'levy page12'!$C$35,"  ")</f>
        <v>  </v>
      </c>
      <c r="C23" s="329" t="str">
        <f>IF(inputPrYr!D76&lt;&gt;0,inputPrYr!D76,"  ")</f>
        <v>  </v>
      </c>
      <c r="D23" s="81" t="str">
        <f>IF('levy page12'!$D$35&lt;&gt;0,'levy page12'!$D$35,"  ")</f>
        <v>  </v>
      </c>
      <c r="E23" s="329" t="str">
        <f>IF(inputPrYr!F24&lt;&gt;0,inputPrYr!F24,"  ")</f>
        <v>  </v>
      </c>
      <c r="F23" s="81" t="str">
        <f>IF('levy page12'!$E$35&lt;&gt;0,'levy page12'!$E$35,"  ")</f>
        <v>  </v>
      </c>
      <c r="G23" s="81" t="str">
        <f>IF('levy page12'!$E$42&lt;&gt;0,'levy page12'!$E$42,"  ")</f>
        <v>  </v>
      </c>
      <c r="H23" s="329" t="str">
        <f>IF('levy page12'!$E$42&lt;&gt;0,ROUND(G23/$F$56*1000,3),"  ")</f>
        <v>  </v>
      </c>
    </row>
    <row r="24" spans="1:8" ht="15.75">
      <c r="A24" s="81" t="str">
        <f>IF((inputPrYr!$B25&gt;" "),(inputPrYr!$B25),"  ")</f>
        <v>  </v>
      </c>
      <c r="B24" s="81" t="str">
        <f>IF('levy page12'!$C$77&lt;&gt;0,'levy page12'!$C$77,"  ")</f>
        <v>  </v>
      </c>
      <c r="C24" s="329" t="str">
        <f>IF(inputPrYr!D77&lt;&gt;0,inputPrYr!D77,"  ")</f>
        <v>  </v>
      </c>
      <c r="D24" s="81" t="str">
        <f>IF('levy page12'!$D$77&lt;&gt;0,'levy page12'!$D$77,"  ")</f>
        <v>  </v>
      </c>
      <c r="E24" s="329" t="str">
        <f>IF(inputPrYr!F25&lt;&gt;0,inputPrYr!F25,"  ")</f>
        <v>  </v>
      </c>
      <c r="F24" s="81" t="str">
        <f>IF('levy page12'!$E$77&lt;&gt;0,'levy page12'!$E$77,"  ")</f>
        <v>  </v>
      </c>
      <c r="G24" s="81" t="str">
        <f>IF('levy page12'!$E$84&lt;&gt;0,'levy page12'!$E$84,"  ")</f>
        <v>  </v>
      </c>
      <c r="H24" s="329" t="str">
        <f>IF('levy page12'!$E$84&lt;&gt;0,ROUND(G24/$F$56*1000,3),"  ")</f>
        <v>  </v>
      </c>
    </row>
    <row r="25" spans="1:8" ht="15.75">
      <c r="A25" s="81" t="str">
        <f>IF((inputPrYr!$B26&gt;" "),(inputPrYr!$B26),"  ")</f>
        <v>  </v>
      </c>
      <c r="B25" s="81" t="str">
        <f>IF('levy page13'!$C$35&lt;&gt;0,'levy page13'!$C$35,"  ")</f>
        <v>  </v>
      </c>
      <c r="C25" s="329" t="str">
        <f>IF(inputPrYr!D78&lt;&gt;0,inputPrYr!D78,"  ")</f>
        <v>  </v>
      </c>
      <c r="D25" s="81" t="str">
        <f>IF('levy page13'!$D$35&lt;&gt;0,'levy page13'!$D$35,"  ")</f>
        <v>  </v>
      </c>
      <c r="E25" s="329" t="str">
        <f>IF(inputPrYr!F26&lt;&gt;0,inputPrYr!F26,"  ")</f>
        <v>  </v>
      </c>
      <c r="F25" s="81" t="str">
        <f>IF('levy page13'!$E$35&lt;&gt;0,'levy page13'!$E$35,"  ")</f>
        <v>  </v>
      </c>
      <c r="G25" s="81" t="str">
        <f>IF('levy page13'!$E$42&lt;&gt;0,'levy page13'!$E$42,"  ")</f>
        <v>  </v>
      </c>
      <c r="H25" s="329" t="str">
        <f>IF('levy page13'!$E$42&lt;&gt;0,ROUND(G25/$F$56*1000,3),"  ")</f>
        <v>  </v>
      </c>
    </row>
    <row r="26" spans="1:8" ht="15.75">
      <c r="A26" s="81" t="str">
        <f>IF((inputPrYr!$B27&gt;" "),(inputPrYr!$B27),"  ")</f>
        <v>  </v>
      </c>
      <c r="B26" s="81" t="str">
        <f>IF('levy page13'!$C$77&lt;&gt;0,'levy page13'!$C$77,"  ")</f>
        <v>  </v>
      </c>
      <c r="C26" s="329" t="str">
        <f>IF(inputPrYr!D79&lt;&gt;0,inputPrYr!D79,"  ")</f>
        <v>  </v>
      </c>
      <c r="D26" s="81" t="str">
        <f>IF('levy page13'!$D$77&lt;&gt;0,'levy page13'!$D$77,"  ")</f>
        <v>  </v>
      </c>
      <c r="E26" s="329" t="str">
        <f>IF(inputPrYr!F27&lt;&gt;0,inputPrYr!F27,"  ")</f>
        <v>  </v>
      </c>
      <c r="F26" s="81" t="str">
        <f>IF('levy page13'!$E$77&lt;&gt;0,'levy page13'!$E$77,"  ")</f>
        <v>  </v>
      </c>
      <c r="G26" s="81" t="str">
        <f>IF('levy page13'!$E$84&lt;&gt;0,'levy page13'!$E$84,"  ")</f>
        <v>  </v>
      </c>
      <c r="H26" s="329" t="str">
        <f>IF('levy page13'!$E$84&lt;&gt;0,ROUND(G26/$F$56*1000,3),"  ")</f>
        <v>  </v>
      </c>
    </row>
    <row r="27" spans="1:8" ht="15.75">
      <c r="A27" s="81" t="str">
        <f>IF((inputPrYr!$B28&gt;" "),(inputPrYr!$B28),"  ")</f>
        <v>  </v>
      </c>
      <c r="B27" s="81" t="str">
        <f>IF('levy page14'!$C$35&lt;&gt;0,'levy page14'!$C$35,"  ")</f>
        <v>  </v>
      </c>
      <c r="C27" s="329" t="str">
        <f>IF(inputPrYr!D80&lt;&gt;0,inputPrYr!D80,"  ")</f>
        <v>  </v>
      </c>
      <c r="D27" s="81" t="str">
        <f>IF('levy page14'!$D$35&lt;&gt;0,'levy page14'!$D$35,"  ")</f>
        <v>  </v>
      </c>
      <c r="E27" s="329" t="str">
        <f>IF(inputPrYr!F28&lt;&gt;0,inputPrYr!F28,"  ")</f>
        <v>  </v>
      </c>
      <c r="F27" s="81" t="str">
        <f>IF('levy page14'!$E$35&lt;&gt;0,'levy page14'!$E$35,"  ")</f>
        <v>  </v>
      </c>
      <c r="G27" s="81" t="str">
        <f>IF('levy page14'!$E$42&lt;&gt;0,'levy page14'!$E$42,"  ")</f>
        <v>  </v>
      </c>
      <c r="H27" s="329" t="str">
        <f>IF('levy page14'!$E$42&lt;&gt;0,ROUND(G27/$F$56*1000,3),"  ")</f>
        <v>  </v>
      </c>
    </row>
    <row r="28" spans="1:8" ht="15.75">
      <c r="A28" s="81" t="str">
        <f>IF((inputPrYr!$B29&gt;" "),(inputPrYr!$B29),"  ")</f>
        <v>  </v>
      </c>
      <c r="B28" s="81" t="str">
        <f>IF('levy page14'!$C$77&lt;&gt;0,'levy page14'!$C$77,"  ")</f>
        <v>  </v>
      </c>
      <c r="C28" s="329" t="str">
        <f>IF(inputPrYr!D81&lt;&gt;0,inputPrYr!D81,"  ")</f>
        <v>  </v>
      </c>
      <c r="D28" s="81" t="str">
        <f>IF('levy page14'!$D$77&lt;&gt;0,'levy page14'!$D$77,"  ")</f>
        <v>  </v>
      </c>
      <c r="E28" s="329" t="str">
        <f>IF(inputPrYr!F29&lt;&gt;0,inputPrYr!F29,"  ")</f>
        <v>  </v>
      </c>
      <c r="F28" s="81" t="str">
        <f>IF('levy page14'!$E$77&lt;&gt;0,'levy page14'!$E$77,"  ")</f>
        <v>  </v>
      </c>
      <c r="G28" s="81" t="str">
        <f>IF('levy page14'!$E$84&lt;&gt;0,'levy page14'!$E$84,"  ")</f>
        <v>  </v>
      </c>
      <c r="H28" s="329" t="str">
        <f>IF('levy page14'!$E$84&lt;&gt;0,ROUND(G28/$F$56*1000,3),"  ")</f>
        <v>  </v>
      </c>
    </row>
    <row r="29" spans="1:8" ht="15.75">
      <c r="A29" s="81" t="str">
        <f>IF((inputPrYr!$B30&gt;" "),(inputPrYr!$B30),"  ")</f>
        <v>  </v>
      </c>
      <c r="B29" s="81" t="str">
        <f>IF('levy page15'!$C$35&lt;&gt;0,'levy page15'!$C$35,"  ")</f>
        <v>  </v>
      </c>
      <c r="C29" s="329" t="str">
        <f>IF(inputPrYr!D82&lt;&gt;0,inputPrYr!D82,"  ")</f>
        <v>  </v>
      </c>
      <c r="D29" s="81" t="str">
        <f>IF('levy page15'!$D$35&lt;&gt;0,'levy page15'!$D$35,"  ")</f>
        <v>  </v>
      </c>
      <c r="E29" s="329" t="str">
        <f>IF(inputPrYr!F30&lt;&gt;0,inputPrYr!F30,"  ")</f>
        <v>  </v>
      </c>
      <c r="F29" s="81" t="str">
        <f>IF('levy page15'!$E$35&lt;&gt;0,'levy page15'!$E$35,"  ")</f>
        <v>  </v>
      </c>
      <c r="G29" s="81" t="str">
        <f>IF('levy page15'!$E$42&lt;&gt;0,'levy page15'!$E$42,"  ")</f>
        <v>  </v>
      </c>
      <c r="H29" s="329" t="str">
        <f>IF('levy page15'!$E$42&lt;&gt;0,ROUND(G29/$F$56*1000,3),"  ")</f>
        <v>  </v>
      </c>
    </row>
    <row r="30" spans="1:8" ht="15.75">
      <c r="A30" s="81" t="str">
        <f>IF((inputPrYr!$B31&gt;" "),(inputPrYr!$B31),"  ")</f>
        <v>  </v>
      </c>
      <c r="B30" s="81" t="str">
        <f>IF('levy page15'!$C$77&lt;&gt;0,'levy page15'!$C$77,"  ")</f>
        <v>  </v>
      </c>
      <c r="C30" s="329" t="str">
        <f>IF(inputPrYr!D83&lt;&gt;0,inputPrYr!D83,"  ")</f>
        <v>  </v>
      </c>
      <c r="D30" s="81" t="str">
        <f>IF('levy page15'!$D$77&lt;&gt;0,'levy page15'!$D$77,"  ")</f>
        <v>  </v>
      </c>
      <c r="E30" s="329" t="str">
        <f>IF(inputPrYr!F31&lt;&gt;0,inputPrYr!F31,"  ")</f>
        <v>  </v>
      </c>
      <c r="F30" s="81" t="str">
        <f>IF('levy page15'!$E$77&lt;&gt;0,'levy page15'!$E$77,"  ")</f>
        <v>  </v>
      </c>
      <c r="G30" s="81" t="str">
        <f>IF('levy page15'!$E$84&lt;&gt;0,'levy page15'!$E$84,"  ")</f>
        <v>  </v>
      </c>
      <c r="H30" s="329" t="str">
        <f>IF('levy page15'!$E$84&lt;&gt;0,ROUND(G30/$F$56*1000,3),"  ")</f>
        <v>  </v>
      </c>
    </row>
    <row r="31" spans="1:8" ht="15.75">
      <c r="A31" s="81" t="str">
        <f>IF((inputPrYr!$B32&gt;" "),(inputPrYr!$B32),"  ")</f>
        <v>  </v>
      </c>
      <c r="B31" s="81" t="str">
        <f>IF('levy page16'!$C$35&lt;&gt;0,'levy page16'!$C$35,"  ")</f>
        <v>  </v>
      </c>
      <c r="C31" s="329" t="str">
        <f>IF(inputPrYr!D84&lt;&gt;0,inputPrYr!D84,"  ")</f>
        <v>  </v>
      </c>
      <c r="D31" s="81" t="str">
        <f>IF('levy page16'!$D$35&lt;&gt;0,'levy page16'!$D$35,"  ")</f>
        <v>  </v>
      </c>
      <c r="E31" s="329" t="str">
        <f>IF(inputPrYr!F32&lt;&gt;0,inputPrYr!F32,"  ")</f>
        <v>  </v>
      </c>
      <c r="F31" s="81" t="str">
        <f>IF('levy page16'!$E$35&lt;&gt;0,'levy page16'!$E$35,"  ")</f>
        <v>  </v>
      </c>
      <c r="G31" s="81" t="str">
        <f>IF('levy page16'!$E$42&lt;&gt;0,'levy page16'!$E$42,"  ")</f>
        <v>  </v>
      </c>
      <c r="H31" s="329" t="str">
        <f>IF('levy page16'!$E$42&lt;&gt;0,ROUND(G31/$F$56*1000,3),"  ")</f>
        <v>  </v>
      </c>
    </row>
    <row r="32" spans="1:8" ht="15.75">
      <c r="A32" s="81" t="str">
        <f>IF((inputPrYr!$B33&gt;" "),(inputPrYr!$B33),"  ")</f>
        <v>  </v>
      </c>
      <c r="B32" s="81" t="str">
        <f>IF('levy page16'!$C$77&lt;&gt;0,'levy page16'!$C$77,"  ")</f>
        <v>  </v>
      </c>
      <c r="C32" s="329" t="str">
        <f>IF(inputPrYr!D85&lt;&gt;0,inputPrYr!D85,"  ")</f>
        <v>  </v>
      </c>
      <c r="D32" s="81" t="str">
        <f>IF('levy page16'!$D$77&lt;&gt;0,'levy page16'!$D$77,"  ")</f>
        <v>  </v>
      </c>
      <c r="E32" s="329" t="str">
        <f>IF(inputPrYr!F33&lt;&gt;0,inputPrYr!F33,"  ")</f>
        <v>  </v>
      </c>
      <c r="F32" s="81" t="str">
        <f>IF('levy page16'!$E$77&lt;&gt;0,'levy page16'!$E$77,"  ")</f>
        <v>  </v>
      </c>
      <c r="G32" s="81" t="str">
        <f>IF('levy page16'!$E$84&lt;&gt;0,'levy page16'!$E$84,"  ")</f>
        <v>  </v>
      </c>
      <c r="H32" s="329" t="str">
        <f>IF('levy page16'!$E$84&lt;&gt;0,ROUND(G32/$F$56*1000,3),"  ")</f>
        <v>  </v>
      </c>
    </row>
    <row r="33" spans="1:8" ht="15.75">
      <c r="A33" s="81" t="str">
        <f>IF((inputPrYr!$B34&gt;" "),(inputPrYr!$B34),"  ")</f>
        <v>  </v>
      </c>
      <c r="B33" s="81" t="str">
        <f>IF('levy page17'!$C$35&lt;&gt;0,'levy page17'!$C$35,"  ")</f>
        <v>  </v>
      </c>
      <c r="C33" s="329" t="str">
        <f>IF(inputPrYr!D86&lt;&gt;0,inputPrYr!D86,"  ")</f>
        <v>  </v>
      </c>
      <c r="D33" s="81" t="str">
        <f>IF('levy page17'!$D$35&lt;&gt;0,'levy page17'!$D$35,"  ")</f>
        <v>  </v>
      </c>
      <c r="E33" s="329" t="str">
        <f>IF(inputPrYr!F34&lt;&gt;0,inputPrYr!F34,"  ")</f>
        <v>  </v>
      </c>
      <c r="F33" s="81" t="str">
        <f>IF('levy page17'!$E$35&lt;&gt;0,'levy page17'!$E$35,"  ")</f>
        <v>  </v>
      </c>
      <c r="G33" s="81" t="str">
        <f>IF('levy page17'!$E$42&lt;&gt;0,'levy page17'!$E$42,"  ")</f>
        <v>  </v>
      </c>
      <c r="H33" s="329" t="str">
        <f>IF('levy page17'!$E$42&lt;&gt;0,ROUND(G33/$F$56*1000,3),"  ")</f>
        <v>  </v>
      </c>
    </row>
    <row r="34" spans="1:8" ht="15.75">
      <c r="A34" s="81" t="str">
        <f>IF((inputPrYr!$B35&gt;" "),(inputPrYr!$B35),"  ")</f>
        <v>  </v>
      </c>
      <c r="B34" s="81" t="str">
        <f>IF('levy page17'!$C$77&lt;&gt;0,'levy page17'!$C$77,"  ")</f>
        <v>  </v>
      </c>
      <c r="C34" s="329" t="str">
        <f>IF(inputPrYr!D87&lt;&gt;0,inputPrYr!D87,"  ")</f>
        <v>  </v>
      </c>
      <c r="D34" s="81" t="str">
        <f>IF('levy page17'!$D$77&lt;&gt;0,'levy page17'!$D$77,"  ")</f>
        <v>  </v>
      </c>
      <c r="E34" s="329" t="str">
        <f>IF(inputPrYr!F35&lt;&gt;0,inputPrYr!F35,"  ")</f>
        <v>  </v>
      </c>
      <c r="F34" s="81" t="str">
        <f>IF('levy page17'!$E$77&lt;&gt;0,'levy page17'!$E$77,"  ")</f>
        <v>  </v>
      </c>
      <c r="G34" s="81" t="str">
        <f>IF('levy page17'!$E$84&lt;&gt;0,'levy page17'!$E$84,"  ")</f>
        <v>  </v>
      </c>
      <c r="H34" s="329" t="str">
        <f>IF('levy page17'!$E$84&lt;&gt;0,ROUND(G34/$F$56*1000,3),"  ")</f>
        <v>  </v>
      </c>
    </row>
    <row r="35" spans="1:8" ht="15.75">
      <c r="A35" s="81" t="str">
        <f>IF((inputPrYr!$B36&gt;" "),(inputPrYr!$B36),"  ")</f>
        <v>  </v>
      </c>
      <c r="B35" s="81" t="str">
        <f>IF('levy page18'!$C$35&lt;&gt;0,'levy page18'!$C$35,"  ")</f>
        <v>  </v>
      </c>
      <c r="C35" s="329" t="str">
        <f>IF(inputPrYr!D88&lt;&gt;0,inputPrYr!D88,"  ")</f>
        <v>  </v>
      </c>
      <c r="D35" s="81" t="str">
        <f>IF('levy page18'!$D$35&lt;&gt;0,'levy page18'!$D$35,"  ")</f>
        <v>  </v>
      </c>
      <c r="E35" s="329" t="str">
        <f>IF(inputPrYr!F36&lt;&gt;0,inputPrYr!F36,"  ")</f>
        <v>  </v>
      </c>
      <c r="F35" s="81" t="str">
        <f>IF('levy page18'!$E$35&lt;&gt;0,'levy page18'!$E$35,"  ")</f>
        <v>  </v>
      </c>
      <c r="G35" s="81" t="str">
        <f>IF('levy page18'!$E$42&lt;&gt;0,'levy page18'!$E$42,"  ")</f>
        <v>  </v>
      </c>
      <c r="H35" s="329" t="str">
        <f>IF('levy page18'!$E$42&lt;&gt;0,ROUND(G35/$F$56*1000,3),"  ")</f>
        <v>  </v>
      </c>
    </row>
    <row r="36" spans="1:8" ht="15.75">
      <c r="A36" s="81" t="str">
        <f>IF((inputPrYr!$B37&gt;" "),(inputPrYr!$B37),"  ")</f>
        <v>  </v>
      </c>
      <c r="B36" s="81" t="str">
        <f>IF('levy page18'!$C$77&lt;&gt;0,'levy page18'!$C$77,"  ")</f>
        <v>  </v>
      </c>
      <c r="C36" s="329" t="str">
        <f>IF(inputPrYr!D89&lt;&gt;0,inputPrYr!D89,"  ")</f>
        <v>  </v>
      </c>
      <c r="D36" s="81" t="str">
        <f>IF('levy page18'!$D$77&lt;&gt;0,'levy page18'!$D$77,"  ")</f>
        <v>  </v>
      </c>
      <c r="E36" s="329" t="str">
        <f>IF(inputPrYr!F37&lt;&gt;0,inputPrYr!F37,"  ")</f>
        <v>  </v>
      </c>
      <c r="F36" s="81" t="str">
        <f>IF('levy page18'!$E$77&lt;&gt;0,'levy page18'!$E$77,"  ")</f>
        <v>  </v>
      </c>
      <c r="G36" s="81" t="str">
        <f>IF('levy page18'!$E$84&lt;&gt;0,'levy page18'!$E$84,"  ")</f>
        <v>  </v>
      </c>
      <c r="H36" s="329" t="str">
        <f>IF('levy page18'!$E$84&lt;&gt;0,ROUND(G36/$F$56*1000,3),"  ")</f>
        <v>  </v>
      </c>
    </row>
    <row r="37" spans="1:8" ht="15.75">
      <c r="A37" s="81" t="str">
        <f>IF((inputPrYr!$B38&gt;" "),(inputPrYr!$B38),"  ")</f>
        <v>  </v>
      </c>
      <c r="B37" s="81" t="str">
        <f>IF('levy page19'!$C$35&lt;&gt;0,'levy page19'!$C$35,"  ")</f>
        <v>  </v>
      </c>
      <c r="C37" s="329" t="str">
        <f>IF(inputPrYr!D90&lt;&gt;0,inputPrYr!D90,"  ")</f>
        <v>  </v>
      </c>
      <c r="D37" s="81" t="str">
        <f>IF('levy page19'!$D$35&lt;&gt;0,'levy page19'!$D$35,"  ")</f>
        <v>  </v>
      </c>
      <c r="E37" s="329" t="str">
        <f>IF(inputPrYr!F38&lt;&gt;0,inputPrYr!F38,"  ")</f>
        <v>  </v>
      </c>
      <c r="F37" s="81" t="str">
        <f>IF('levy page19'!$E$35&lt;&gt;0,'levy page19'!$E$35,"  ")</f>
        <v>  </v>
      </c>
      <c r="G37" s="81" t="str">
        <f>IF('levy page19'!$E$42&lt;&gt;0,'levy page19'!$E$42,"  ")</f>
        <v>  </v>
      </c>
      <c r="H37" s="329" t="str">
        <f>IF('levy page19'!$E$42&lt;&gt;0,ROUND(G37/$F$56*1000,3),"  ")</f>
        <v>  </v>
      </c>
    </row>
    <row r="38" spans="1:8" ht="15.75">
      <c r="A38" s="81" t="str">
        <f>IF((inputPrYr!$B39&gt;" "),(inputPrYr!$B39),"  ")</f>
        <v>  </v>
      </c>
      <c r="B38" s="81" t="str">
        <f>IF('levy page19'!$C$77&lt;&gt;0,'levy page19'!$C$77,"  ")</f>
        <v>  </v>
      </c>
      <c r="C38" s="329" t="str">
        <f>IF(inputPrYr!D91&lt;&gt;0,inputPrYr!D91,"  ")</f>
        <v>  </v>
      </c>
      <c r="D38" s="81" t="str">
        <f>IF('levy page19'!$D$77&lt;&gt;0,'levy page19'!$D$77,"  ")</f>
        <v>  </v>
      </c>
      <c r="E38" s="329" t="str">
        <f>IF(inputPrYr!F39&lt;&gt;0,inputPrYr!F39,"  ")</f>
        <v>  </v>
      </c>
      <c r="F38" s="81" t="str">
        <f>IF('levy page19'!$E$77&lt;&gt;0,'levy page19'!$E$77,"  ")</f>
        <v>  </v>
      </c>
      <c r="G38" s="81" t="str">
        <f>IF('levy page19'!$E$84&lt;&gt;0,'levy page19'!$E$84,"  ")</f>
        <v>  </v>
      </c>
      <c r="H38" s="329" t="str">
        <f>IF('levy page19'!$E$84&lt;&gt;0,ROUND(G38/$F$56*1000,3),"  ")</f>
        <v>  </v>
      </c>
    </row>
    <row r="39" spans="1:8" ht="15.75">
      <c r="A39" s="81" t="str">
        <f>IF((inputPrYr!$B40&gt;" "),(inputPrYr!$B40),"  ")</f>
        <v>  </v>
      </c>
      <c r="B39" s="81" t="str">
        <f>IF('levy page20'!$C$35&lt;&gt;0,'levy page20'!$C$35,"  ")</f>
        <v>  </v>
      </c>
      <c r="C39" s="329" t="str">
        <f>IF(inputPrYr!D92&lt;&gt;0,inputPrYr!D92,"  ")</f>
        <v>  </v>
      </c>
      <c r="D39" s="81" t="str">
        <f>IF('levy page20'!$D$35&lt;&gt;0,'levy page20'!$D$35,"  ")</f>
        <v>  </v>
      </c>
      <c r="E39" s="329" t="str">
        <f>IF(inputPrYr!F40&lt;&gt;0,inputPrYr!F40,"  ")</f>
        <v>  </v>
      </c>
      <c r="F39" s="81" t="str">
        <f>IF('levy page20'!$E$35&lt;&gt;0,'levy page20'!$E$35,"  ")</f>
        <v>  </v>
      </c>
      <c r="G39" s="81" t="str">
        <f>IF('levy page20'!$E$42&lt;&gt;0,'levy page20'!$E$42,"  ")</f>
        <v>  </v>
      </c>
      <c r="H39" s="329" t="str">
        <f>IF('levy page20'!$E$42&lt;&gt;0,ROUND(G39/$F$56*1000,3),"  ")</f>
        <v>  </v>
      </c>
    </row>
    <row r="40" spans="1:8" ht="15.75">
      <c r="A40" s="81" t="str">
        <f>IF((inputPrYr!$B41&gt;" "),(inputPrYr!$B41),"  ")</f>
        <v>  </v>
      </c>
      <c r="B40" s="81" t="str">
        <f>IF('levy page20'!$C$77&lt;&gt;0,'levy page20'!$C$77,"  ")</f>
        <v>  </v>
      </c>
      <c r="C40" s="329" t="str">
        <f>IF(inputPrYr!D93&lt;&gt;0,inputPrYr!D93,"  ")</f>
        <v>  </v>
      </c>
      <c r="D40" s="81" t="str">
        <f>IF('levy page20'!$D$77&lt;&gt;0,'levy page20'!$D$77,"  ")</f>
        <v>  </v>
      </c>
      <c r="E40" s="329" t="str">
        <f>IF(inputPrYr!F41&lt;&gt;0,inputPrYr!F41,"  ")</f>
        <v>  </v>
      </c>
      <c r="F40" s="81" t="str">
        <f>IF('levy page20'!$E$77&lt;&gt;0,'levy page20'!$E$77,"  ")</f>
        <v>  </v>
      </c>
      <c r="G40" s="81" t="str">
        <f>IF('levy page20'!$E$84&lt;&gt;0,'levy page20'!$E$84,"  ")</f>
        <v>  </v>
      </c>
      <c r="H40" s="329" t="str">
        <f>IF('levy page20'!$E$84&lt;&gt;0,ROUND(G40/$F$56*1000,3),"  ")</f>
        <v>  </v>
      </c>
    </row>
    <row r="41" spans="1:13" ht="15.75">
      <c r="A41" s="81" t="str">
        <f>IF((inputPrYr!$B45&gt;" "),(inputPrYr!$B45),"  ")</f>
        <v>  </v>
      </c>
      <c r="B41" s="81" t="str">
        <f>IF('no levy page21'!$C$28&lt;&gt;0,'no levy page21'!$C$28,"  ")</f>
        <v>  </v>
      </c>
      <c r="C41" s="128"/>
      <c r="D41" s="81" t="str">
        <f>IF('no levy page21'!$D$28&lt;&gt;0,'no levy page21'!$D$28,"  ")</f>
        <v>  </v>
      </c>
      <c r="E41" s="128"/>
      <c r="F41" s="81" t="str">
        <f>IF('no levy page21'!$E$28&lt;&gt;0,'no levy page21'!$E$28,"  ")</f>
        <v>  </v>
      </c>
      <c r="G41" s="81"/>
      <c r="H41" s="60"/>
      <c r="J41" s="872" t="str">
        <f>CONCATENATE("Estimated Value Of One Mill For ",H1,"")</f>
        <v>Estimated Value Of One Mill For 0</v>
      </c>
      <c r="K41" s="877"/>
      <c r="L41" s="877"/>
      <c r="M41" s="878"/>
    </row>
    <row r="42" spans="1:13" ht="15.75">
      <c r="A42" s="81" t="str">
        <f>IF((inputPrYr!$B46&gt;" "),(inputPrYr!$B46),"  ")</f>
        <v>  </v>
      </c>
      <c r="B42" s="81" t="str">
        <f>IF('no levy page21'!$C$59&lt;&gt;0,'no levy page21'!$C$59,"  ")</f>
        <v>  </v>
      </c>
      <c r="C42" s="128"/>
      <c r="D42" s="81" t="str">
        <f>IF('no levy page21'!$D$59&lt;&gt;0,'no levy page21'!$D$59,"  ")</f>
        <v>  </v>
      </c>
      <c r="E42" s="128"/>
      <c r="F42" s="81" t="str">
        <f>IF('no levy page21'!$E$59&lt;&gt;0,'no levy page21'!$E$59,"  ")</f>
        <v>  </v>
      </c>
      <c r="G42" s="81"/>
      <c r="H42" s="60"/>
      <c r="J42" s="451"/>
      <c r="K42" s="452"/>
      <c r="L42" s="452"/>
      <c r="M42" s="453"/>
    </row>
    <row r="43" spans="1:13" ht="15.75">
      <c r="A43" s="81" t="str">
        <f>IF((inputPrYr!$B47&gt;" "),(inputPrYr!$B47),"  ")</f>
        <v>  </v>
      </c>
      <c r="B43" s="81" t="str">
        <f>IF('no levy page22'!$C$28&lt;&gt;0,'no levy page22'!$C$28,"  ")</f>
        <v>  </v>
      </c>
      <c r="C43" s="128"/>
      <c r="D43" s="81" t="str">
        <f>IF('no levy page22'!$D$28&lt;&gt;0,'no levy page22'!$D$28,"  ")</f>
        <v>  </v>
      </c>
      <c r="E43" s="128"/>
      <c r="F43" s="81" t="str">
        <f>IF('no levy page22'!$E$28&lt;&gt;0,'no levy page22'!$E$28,"  ")</f>
        <v>  </v>
      </c>
      <c r="G43" s="81"/>
      <c r="H43" s="60"/>
      <c r="J43" s="454" t="s">
        <v>790</v>
      </c>
      <c r="K43" s="455"/>
      <c r="L43" s="455"/>
      <c r="M43" s="716">
        <f>ROUND(F56/1000,0)</f>
        <v>0</v>
      </c>
    </row>
    <row r="44" spans="1:8" ht="15.75">
      <c r="A44" s="81" t="str">
        <f>IF((inputPrYr!$B48&gt;" "),(inputPrYr!$B48),"  ")</f>
        <v>  </v>
      </c>
      <c r="B44" s="81" t="str">
        <f>IF('no levy page22'!$C$59&lt;&gt;0,'no levy page22'!$C$59,"  ")</f>
        <v>  </v>
      </c>
      <c r="C44" s="128"/>
      <c r="D44" s="81" t="str">
        <f>IF('no levy page22'!$D$59&lt;&gt;0,'no levy page22'!$D$59,"  ")</f>
        <v>  </v>
      </c>
      <c r="E44" s="128"/>
      <c r="F44" s="81" t="str">
        <f>IF('no levy page22'!$E$59&lt;&gt;0,'no levy page22'!$E$59,"  ")</f>
        <v>  </v>
      </c>
      <c r="G44" s="81"/>
      <c r="H44" s="60"/>
    </row>
    <row r="45" spans="1:13" ht="15.75">
      <c r="A45" s="81" t="str">
        <f>IF((inputPrYr!$B49&gt;" "),(inputPrYr!$B49),"  ")</f>
        <v>  </v>
      </c>
      <c r="B45" s="81" t="str">
        <f>IF('no levy page23'!$C$28&lt;&gt;0,'no levy page23'!$C$28,"  ")</f>
        <v>  </v>
      </c>
      <c r="C45" s="128"/>
      <c r="D45" s="81" t="str">
        <f>IF('no levy page23'!$D$28&lt;&gt;0,'no levy page23'!$D$28,"  ")</f>
        <v>  </v>
      </c>
      <c r="E45" s="128"/>
      <c r="F45" s="81" t="str">
        <f>IF('no levy page23'!$E$28&lt;&gt;0,'no levy page23'!$E$28,"  ")</f>
        <v>  </v>
      </c>
      <c r="G45" s="81"/>
      <c r="H45" s="60"/>
      <c r="J45" s="872" t="str">
        <f>CONCATENATE("Want The Mill Rate The Same As For ",H1-1,"?")</f>
        <v>Want The Mill Rate The Same As For -1?</v>
      </c>
      <c r="K45" s="877"/>
      <c r="L45" s="877"/>
      <c r="M45" s="878"/>
    </row>
    <row r="46" spans="1:13" ht="15.75">
      <c r="A46" s="81" t="str">
        <f>IF((inputPrYr!$B50&gt;" "),(inputPrYr!$B50),"  ")</f>
        <v>  </v>
      </c>
      <c r="B46" s="81" t="str">
        <f>IF('no levy page23'!$C$59&lt;&gt;0,'no levy page23'!$C$59,"  ")</f>
        <v>  </v>
      </c>
      <c r="C46" s="128"/>
      <c r="D46" s="81" t="str">
        <f>IF('no levy page23'!$D$59&lt;&gt;0,'no levy page23'!$D$59,"  ")</f>
        <v>  </v>
      </c>
      <c r="E46" s="128"/>
      <c r="F46" s="81" t="str">
        <f>IF('no levy page23'!$E$59&lt;&gt;0,'no levy page23'!$E$59,"  ")</f>
        <v>  </v>
      </c>
      <c r="G46" s="81"/>
      <c r="H46" s="60"/>
      <c r="J46" s="458"/>
      <c r="K46" s="452"/>
      <c r="L46" s="452"/>
      <c r="M46" s="459"/>
    </row>
    <row r="47" spans="1:13" ht="15.75">
      <c r="A47" s="81" t="str">
        <f>IF((inputPrYr!$B51&gt;" "),(inputPrYr!$B51),"  ")</f>
        <v>  </v>
      </c>
      <c r="B47" s="81" t="str">
        <f>IF('no levy page24'!$C$28&lt;&gt;0,'no levy page24'!$C$28,"  ")</f>
        <v>  </v>
      </c>
      <c r="C47" s="128"/>
      <c r="D47" s="81" t="str">
        <f>IF('no levy page24'!$D$28&lt;&gt;0,'no levy page24'!$D$28,"  ")</f>
        <v>  </v>
      </c>
      <c r="E47" s="128"/>
      <c r="F47" s="81" t="str">
        <f>IF('no levy page24'!$E$28&lt;&gt;0,'no levy page24'!$E$28,"  ")</f>
        <v>  </v>
      </c>
      <c r="G47" s="81"/>
      <c r="H47" s="60"/>
      <c r="J47" s="458" t="str">
        <f>CONCATENATE("",H1-1," Mill Rate Was:")</f>
        <v>-1 Mill Rate Was:</v>
      </c>
      <c r="K47" s="452"/>
      <c r="L47" s="452"/>
      <c r="M47" s="460">
        <f>E52</f>
        <v>0</v>
      </c>
    </row>
    <row r="48" spans="1:13" ht="15.75">
      <c r="A48" s="81" t="str">
        <f>IF((inputPrYr!$B52&gt;" "),(inputPrYr!$B52),"  ")</f>
        <v>  </v>
      </c>
      <c r="B48" s="81" t="str">
        <f>IF('no levy page24'!$C$59&lt;&gt;0,'no levy page24'!$C$59,"  ")</f>
        <v>  </v>
      </c>
      <c r="C48" s="128"/>
      <c r="D48" s="81" t="str">
        <f>IF('no levy page24'!$D$59&lt;&gt;0,'no levy page24'!$D$59,"  ")</f>
        <v>  </v>
      </c>
      <c r="E48" s="128"/>
      <c r="F48" s="81" t="str">
        <f>IF('no levy page24'!$E$59&lt;&gt;0,'no levy page24'!$E$59,"  ")</f>
        <v>  </v>
      </c>
      <c r="G48" s="81"/>
      <c r="H48" s="60"/>
      <c r="J48" s="461" t="str">
        <f>CONCATENATE("",H1," Tax Levy Fund Expenditures Must Be")</f>
        <v>0 Tax Levy Fund Expenditures Must Be</v>
      </c>
      <c r="K48" s="462"/>
      <c r="L48" s="462"/>
      <c r="M48" s="459"/>
    </row>
    <row r="49" spans="1:13" ht="15.75">
      <c r="A49" s="81" t="str">
        <f>IF((inputPrYr!$B53&gt;" "),(inputPrYr!$B53),"  ")</f>
        <v>  </v>
      </c>
      <c r="B49" s="81" t="str">
        <f>IF('no levy page25'!$C$28&lt;&gt;0,'no levy page25'!$C$28,"  ")</f>
        <v>  </v>
      </c>
      <c r="C49" s="128"/>
      <c r="D49" s="81" t="str">
        <f>IF('no levy page25'!$D$28&lt;&gt;0,'no levy page25'!$D$28,"  ")</f>
        <v>  </v>
      </c>
      <c r="E49" s="128"/>
      <c r="F49" s="81" t="str">
        <f>IF('no levy page25'!$E$28&lt;&gt;0,'no levy page25'!$E$28,"  ")</f>
        <v>  </v>
      </c>
      <c r="G49" s="81"/>
      <c r="H49" s="60"/>
      <c r="J49" s="461">
        <f>IF(M49&gt;0,"Increased By:","")</f>
      </c>
      <c r="K49" s="462"/>
      <c r="L49" s="462"/>
      <c r="M49" s="535">
        <f>IF(M56&lt;0,M56*-1,0)</f>
        <v>0</v>
      </c>
    </row>
    <row r="50" spans="1:13" ht="15.75">
      <c r="A50" s="81" t="str">
        <f>IF((inputPrYr!$B54&gt;" "),(inputPrYr!$B54),"  ")</f>
        <v>  </v>
      </c>
      <c r="B50" s="81" t="str">
        <f>IF('no levy page25'!$C$59&lt;&gt;0,'no levy page25'!$C$59,"  ")</f>
        <v>  </v>
      </c>
      <c r="C50" s="128"/>
      <c r="D50" s="81" t="str">
        <f>IF('no levy page25'!$D$59&lt;&gt;0,'no levy page25'!$D$59,"  ")</f>
        <v>  </v>
      </c>
      <c r="E50" s="128"/>
      <c r="F50" s="81" t="str">
        <f>IF('no levy page25'!$E$59&lt;&gt;0,'no levy page25'!$E$59,"  ")</f>
        <v>  </v>
      </c>
      <c r="G50" s="81"/>
      <c r="H50" s="60"/>
      <c r="J50" s="543">
        <f>IF(M50&lt;0,"Reduced By:","")</f>
      </c>
      <c r="K50" s="544"/>
      <c r="L50" s="544"/>
      <c r="M50" s="545">
        <f>IF(M56&gt;0,M56*-1,0)</f>
        <v>0</v>
      </c>
    </row>
    <row r="51" spans="1:13" ht="16.5" thickBot="1">
      <c r="A51" s="81" t="str">
        <f>IF((inputPrYr!$B58&gt;"  "),(NonBud!$A3),"  ")</f>
        <v>  </v>
      </c>
      <c r="B51" s="538">
        <f>IF(NonBud!K28&gt;0,NonBud!K28,"")</f>
      </c>
      <c r="C51" s="539"/>
      <c r="D51" s="538"/>
      <c r="E51" s="539"/>
      <c r="F51" s="538"/>
      <c r="G51" s="538"/>
      <c r="H51" s="540"/>
      <c r="J51" s="465"/>
      <c r="K51" s="465"/>
      <c r="L51" s="465"/>
      <c r="M51" s="465"/>
    </row>
    <row r="52" spans="1:13" ht="15.75">
      <c r="A52" s="59" t="s">
        <v>46</v>
      </c>
      <c r="B52" s="536">
        <f>SUM(B16:B51)</f>
        <v>0</v>
      </c>
      <c r="C52" s="537">
        <f>SUM(C16:C40)</f>
        <v>0</v>
      </c>
      <c r="D52" s="536">
        <f>SUM(D16:D51)</f>
        <v>0</v>
      </c>
      <c r="E52" s="537">
        <f>SUM(E16:E40)</f>
        <v>0</v>
      </c>
      <c r="F52" s="536">
        <f>SUM(F16:F51)</f>
        <v>0</v>
      </c>
      <c r="G52" s="740">
        <f>SUM(G16:G40)</f>
        <v>0</v>
      </c>
      <c r="H52" s="537">
        <f>SUM(H16:H40)</f>
        <v>0</v>
      </c>
      <c r="J52" s="872" t="str">
        <f>CONCATENATE("Impact On Keeping The Same Mill Rate As For ",H1-1,"")</f>
        <v>Impact On Keeping The Same Mill Rate As For -1</v>
      </c>
      <c r="K52" s="873"/>
      <c r="L52" s="873"/>
      <c r="M52" s="874"/>
    </row>
    <row r="53" spans="1:13" ht="15.75">
      <c r="A53" s="44" t="s">
        <v>120</v>
      </c>
      <c r="B53" s="330">
        <f>transfers!C29</f>
        <v>0</v>
      </c>
      <c r="C53" s="331"/>
      <c r="D53" s="330">
        <f>transfers!D29</f>
        <v>0</v>
      </c>
      <c r="E53" s="266"/>
      <c r="F53" s="330">
        <f>transfers!E29</f>
        <v>0</v>
      </c>
      <c r="G53" s="45"/>
      <c r="J53" s="458"/>
      <c r="K53" s="452"/>
      <c r="L53" s="452"/>
      <c r="M53" s="459"/>
    </row>
    <row r="54" spans="1:13" ht="16.5" thickBot="1">
      <c r="A54" s="44" t="s">
        <v>121</v>
      </c>
      <c r="B54" s="138">
        <f>B52-B53</f>
        <v>0</v>
      </c>
      <c r="C54" s="45"/>
      <c r="D54" s="138">
        <f>D52-D53</f>
        <v>0</v>
      </c>
      <c r="E54" s="331"/>
      <c r="F54" s="138">
        <f>F52-F53</f>
        <v>0</v>
      </c>
      <c r="G54" s="45"/>
      <c r="J54" s="458" t="str">
        <f>CONCATENATE("",H1," Ad Valorem Tax Revenue:")</f>
        <v>0 Ad Valorem Tax Revenue:</v>
      </c>
      <c r="K54" s="452"/>
      <c r="L54" s="452"/>
      <c r="M54" s="453">
        <f>G52</f>
        <v>0</v>
      </c>
    </row>
    <row r="55" spans="1:13" ht="16.5" thickTop="1">
      <c r="A55" s="44" t="s">
        <v>122</v>
      </c>
      <c r="B55" s="541">
        <f>inputPrYr!D96</f>
        <v>0</v>
      </c>
      <c r="C55" s="45"/>
      <c r="D55" s="541">
        <f>inputPrYr!E42</f>
        <v>0</v>
      </c>
      <c r="E55" s="45"/>
      <c r="F55" s="542" t="s">
        <v>290</v>
      </c>
      <c r="G55" s="45"/>
      <c r="J55" s="458" t="str">
        <f>CONCATENATE("",H1-1," Ad Valorem Tax Revenue:")</f>
        <v>-1 Ad Valorem Tax Revenue:</v>
      </c>
      <c r="K55" s="452"/>
      <c r="L55" s="452"/>
      <c r="M55" s="466">
        <f>ROUND(F56*M47/1000,0)</f>
        <v>0</v>
      </c>
    </row>
    <row r="56" spans="1:13" ht="15.75">
      <c r="A56" s="44" t="s">
        <v>123</v>
      </c>
      <c r="B56" s="81">
        <f>inputPrYr!D97</f>
        <v>0</v>
      </c>
      <c r="C56" s="45"/>
      <c r="D56" s="81">
        <f>inputPrYr!E65</f>
        <v>0</v>
      </c>
      <c r="E56" s="45"/>
      <c r="F56" s="81">
        <f>inputOth!E5</f>
        <v>0</v>
      </c>
      <c r="G56" s="45"/>
      <c r="J56" s="463" t="s">
        <v>791</v>
      </c>
      <c r="K56" s="464"/>
      <c r="L56" s="464"/>
      <c r="M56" s="456">
        <f>SUM(M54-M55)</f>
        <v>0</v>
      </c>
    </row>
    <row r="57" spans="1:13" ht="15.75">
      <c r="A57" s="44" t="s">
        <v>124</v>
      </c>
      <c r="B57" s="45"/>
      <c r="C57" s="45"/>
      <c r="D57" s="45"/>
      <c r="E57" s="45"/>
      <c r="F57" s="45"/>
      <c r="G57" s="45"/>
      <c r="H57" s="89"/>
      <c r="J57" s="457"/>
      <c r="K57" s="457"/>
      <c r="L57" s="457"/>
      <c r="M57" s="465"/>
    </row>
    <row r="58" spans="1:13" ht="15.75">
      <c r="A58" s="44" t="s">
        <v>125</v>
      </c>
      <c r="B58" s="332">
        <f>H1-3</f>
        <v>-3</v>
      </c>
      <c r="C58" s="45"/>
      <c r="D58" s="332">
        <f>H1-2</f>
        <v>-2</v>
      </c>
      <c r="E58" s="45"/>
      <c r="F58" s="332">
        <f>H1-1</f>
        <v>-1</v>
      </c>
      <c r="G58" s="45"/>
      <c r="H58" s="89"/>
      <c r="J58" s="872" t="s">
        <v>792</v>
      </c>
      <c r="K58" s="873"/>
      <c r="L58" s="873"/>
      <c r="M58" s="874"/>
    </row>
    <row r="59" spans="1:13" ht="15.75">
      <c r="A59" s="44" t="s">
        <v>126</v>
      </c>
      <c r="B59" s="81">
        <f>inputPrYr!D101</f>
        <v>0</v>
      </c>
      <c r="C59" s="45"/>
      <c r="D59" s="81">
        <f>inputPrYr!E101</f>
        <v>0</v>
      </c>
      <c r="E59" s="45"/>
      <c r="F59" s="81">
        <f>debt!G22</f>
        <v>0</v>
      </c>
      <c r="G59" s="45"/>
      <c r="H59" s="89"/>
      <c r="J59" s="458"/>
      <c r="K59" s="452"/>
      <c r="L59" s="452"/>
      <c r="M59" s="459"/>
    </row>
    <row r="60" spans="1:13" ht="15.75">
      <c r="A60" s="44" t="s">
        <v>127</v>
      </c>
      <c r="B60" s="81">
        <f>inputPrYr!D102</f>
        <v>0</v>
      </c>
      <c r="C60" s="45"/>
      <c r="D60" s="81">
        <f>inputPrYr!E102</f>
        <v>0</v>
      </c>
      <c r="E60" s="45"/>
      <c r="F60" s="81">
        <f>debt!G35</f>
        <v>0</v>
      </c>
      <c r="G60" s="45"/>
      <c r="H60" s="89"/>
      <c r="J60" s="458" t="str">
        <f>CONCATENATE("Current ",H10," Estimated Mill Rate:")</f>
        <v>Current  Estimated Mill Rate:</v>
      </c>
      <c r="K60" s="452"/>
      <c r="L60" s="452"/>
      <c r="M60" s="460">
        <f>H52</f>
        <v>0</v>
      </c>
    </row>
    <row r="61" spans="1:13" ht="15.75">
      <c r="A61" s="44" t="s">
        <v>114</v>
      </c>
      <c r="B61" s="81">
        <f>inputPrYr!D103</f>
        <v>0</v>
      </c>
      <c r="C61" s="45"/>
      <c r="D61" s="81">
        <f>inputPrYr!E103</f>
        <v>0</v>
      </c>
      <c r="E61" s="45"/>
      <c r="F61" s="81">
        <f>debt!G46</f>
        <v>0</v>
      </c>
      <c r="G61" s="45"/>
      <c r="H61" s="89"/>
      <c r="J61" s="458" t="str">
        <f>CONCATENATE("Desired ",H10," Mill Rate:")</f>
        <v>Desired  Mill Rate:</v>
      </c>
      <c r="K61" s="452"/>
      <c r="L61" s="452"/>
      <c r="M61" s="467">
        <v>0</v>
      </c>
    </row>
    <row r="62" spans="1:13" ht="15.75">
      <c r="A62" s="44" t="s">
        <v>203</v>
      </c>
      <c r="B62" s="81">
        <f>inputPrYr!D104</f>
        <v>0</v>
      </c>
      <c r="C62" s="45"/>
      <c r="D62" s="81">
        <f>inputPrYr!E104</f>
        <v>0</v>
      </c>
      <c r="E62" s="45"/>
      <c r="F62" s="81">
        <f>lpform!G37</f>
        <v>0</v>
      </c>
      <c r="G62" s="45"/>
      <c r="H62" s="89"/>
      <c r="J62" s="458" t="str">
        <f>CONCATENATE("",H1," Ad Valorem Tax:")</f>
        <v>0 Ad Valorem Tax:</v>
      </c>
      <c r="K62" s="452"/>
      <c r="L62" s="452"/>
      <c r="M62" s="466">
        <f>ROUND(F56*M61/1000,0)</f>
        <v>0</v>
      </c>
    </row>
    <row r="63" spans="1:13" ht="16.5" thickBot="1">
      <c r="A63" s="44" t="s">
        <v>128</v>
      </c>
      <c r="B63" s="138">
        <f>SUM(B59:B62)</f>
        <v>0</v>
      </c>
      <c r="C63" s="45"/>
      <c r="D63" s="138">
        <f>SUM(D59:D62)</f>
        <v>0</v>
      </c>
      <c r="E63" s="45"/>
      <c r="F63" s="138">
        <f>SUM(F59:F62)</f>
        <v>0</v>
      </c>
      <c r="G63" s="45"/>
      <c r="H63" s="89"/>
      <c r="J63" s="463" t="str">
        <f>CONCATENATE("",H10," Tax Levy Fund Exp. Changed By:")</f>
        <v> Tax Levy Fund Exp. Changed By:</v>
      </c>
      <c r="K63" s="464"/>
      <c r="L63" s="464"/>
      <c r="M63" s="456">
        <f>IF(M61=0,0,(M62-G52))</f>
        <v>0</v>
      </c>
    </row>
    <row r="64" spans="1:8" ht="16.5" thickTop="1">
      <c r="A64" s="44" t="s">
        <v>129</v>
      </c>
      <c r="B64" s="45"/>
      <c r="C64" s="45"/>
      <c r="D64" s="45"/>
      <c r="E64" s="45"/>
      <c r="F64" s="45"/>
      <c r="G64" s="45"/>
      <c r="H64" s="89"/>
    </row>
    <row r="65" spans="1:8" ht="15.75">
      <c r="A65" s="45"/>
      <c r="B65" s="45"/>
      <c r="C65" s="45"/>
      <c r="D65" s="45"/>
      <c r="E65" s="45"/>
      <c r="F65" s="45"/>
      <c r="G65" s="45"/>
      <c r="H65" s="89"/>
    </row>
    <row r="66" spans="1:8" ht="15.75">
      <c r="A66" s="875">
        <f>inputBudSum!B3</f>
        <v>0</v>
      </c>
      <c r="B66" s="876"/>
      <c r="C66" s="45"/>
      <c r="D66" s="45"/>
      <c r="E66" s="45"/>
      <c r="F66" s="45"/>
      <c r="G66" s="45"/>
      <c r="H66" s="89"/>
    </row>
    <row r="67" spans="1:8" ht="15.75">
      <c r="A67" s="109" t="s">
        <v>130</v>
      </c>
      <c r="B67" s="52"/>
      <c r="C67" s="45"/>
      <c r="D67" s="45"/>
      <c r="E67" s="45"/>
      <c r="F67" s="45"/>
      <c r="G67" s="45"/>
      <c r="H67" s="89"/>
    </row>
    <row r="68" spans="1:8" ht="15.75">
      <c r="A68" s="45"/>
      <c r="B68" s="45"/>
      <c r="C68" s="45"/>
      <c r="D68" s="231" t="s">
        <v>60</v>
      </c>
      <c r="E68" s="709"/>
      <c r="F68" s="45"/>
      <c r="G68" s="45"/>
      <c r="H68" s="89"/>
    </row>
    <row r="69" spans="1:8" ht="15.75">
      <c r="A69" s="89"/>
      <c r="D69" s="89"/>
      <c r="E69" s="89"/>
      <c r="F69" s="89"/>
      <c r="G69" s="89"/>
      <c r="H69" s="89"/>
    </row>
  </sheetData>
  <sheetProtection sheet="1"/>
  <mergeCells count="13">
    <mergeCell ref="A7:H7"/>
    <mergeCell ref="A8:H8"/>
    <mergeCell ref="A2:H2"/>
    <mergeCell ref="A4:H4"/>
    <mergeCell ref="A5:H5"/>
    <mergeCell ref="A6:H6"/>
    <mergeCell ref="J52:M52"/>
    <mergeCell ref="J58:M58"/>
    <mergeCell ref="A66:B66"/>
    <mergeCell ref="A10:H10"/>
    <mergeCell ref="A11:H11"/>
    <mergeCell ref="J41:M41"/>
    <mergeCell ref="J45:M45"/>
  </mergeCells>
  <printOptions/>
  <pageMargins left="1.12" right="0.5" top="0.74" bottom="0.34" header="0.5" footer="0"/>
  <pageSetup blackAndWhite="1" fitToHeight="1" fitToWidth="1" horizontalDpi="120" verticalDpi="120" orientation="portrait" scale="67" r:id="rId1"/>
  <headerFooter alignWithMargins="0">
    <oddHeader>&amp;RState of Kansas
County
</oddHeader>
  </headerFooter>
</worksheet>
</file>

<file path=xl/worksheets/sheet37.xml><?xml version="1.0" encoding="utf-8"?>
<worksheet xmlns="http://schemas.openxmlformats.org/spreadsheetml/2006/main" xmlns:r="http://schemas.openxmlformats.org/officeDocument/2006/relationships">
  <sheetPr>
    <pageSetUpPr fitToPage="1"/>
  </sheetPr>
  <dimension ref="B1:K57"/>
  <sheetViews>
    <sheetView zoomScale="75" zoomScaleNormal="75" zoomScalePageLayoutView="0" workbookViewId="0" topLeftCell="A1">
      <selection activeCell="X99" sqref="X99"/>
    </sheetView>
  </sheetViews>
  <sheetFormatPr defaultColWidth="8.796875" defaultRowHeight="15"/>
  <cols>
    <col min="1" max="1" width="7.09765625" style="31" customWidth="1"/>
    <col min="2" max="2" width="20.796875" style="31" customWidth="1"/>
    <col min="3" max="3" width="12.796875" style="31" customWidth="1"/>
    <col min="4" max="4" width="9.796875" style="31" customWidth="1"/>
    <col min="5" max="5" width="12.796875" style="31" customWidth="1"/>
    <col min="6" max="6" width="9.796875" style="31" customWidth="1"/>
    <col min="7" max="7" width="15.19921875" style="31" customWidth="1"/>
    <col min="8" max="9" width="12.796875" style="31" customWidth="1"/>
    <col min="10" max="10" width="9.796875" style="31" customWidth="1"/>
    <col min="11" max="16384" width="8.8984375" style="31" customWidth="1"/>
  </cols>
  <sheetData>
    <row r="1" spans="2:10" ht="15.75">
      <c r="B1" s="160">
        <f>inputPrYr!C3</f>
        <v>0</v>
      </c>
      <c r="C1" s="45"/>
      <c r="D1" s="45"/>
      <c r="E1" s="45"/>
      <c r="F1" s="45"/>
      <c r="G1" s="45"/>
      <c r="H1" s="45"/>
      <c r="I1" s="45"/>
      <c r="J1" s="230">
        <f>inputPrYr!C5</f>
        <v>0</v>
      </c>
    </row>
    <row r="2" spans="2:10" ht="15.75">
      <c r="B2" s="45"/>
      <c r="C2" s="45"/>
      <c r="D2" s="45"/>
      <c r="E2" s="45"/>
      <c r="F2" s="45"/>
      <c r="G2" s="45"/>
      <c r="H2" s="45"/>
      <c r="I2" s="45"/>
      <c r="J2" s="79"/>
    </row>
    <row r="3" spans="2:11" ht="15.75">
      <c r="B3" s="51" t="s">
        <v>157</v>
      </c>
      <c r="C3" s="52"/>
      <c r="D3" s="52"/>
      <c r="E3" s="52"/>
      <c r="F3" s="52"/>
      <c r="G3" s="52"/>
      <c r="H3" s="52"/>
      <c r="I3" s="52"/>
      <c r="J3" s="267"/>
      <c r="K3" s="325"/>
    </row>
    <row r="4" spans="2:10" ht="15.75">
      <c r="B4" s="45"/>
      <c r="C4" s="110"/>
      <c r="D4" s="110"/>
      <c r="E4" s="110"/>
      <c r="F4" s="110"/>
      <c r="G4" s="110"/>
      <c r="H4" s="110"/>
      <c r="I4" s="110"/>
      <c r="J4" s="110"/>
    </row>
    <row r="5" spans="2:10" ht="15.75">
      <c r="B5" s="233"/>
      <c r="C5" s="326" t="str">
        <f>CONCATENATE("Prior Year Actual ",J1-2,"")</f>
        <v>Prior Year Actual -2</v>
      </c>
      <c r="D5" s="113"/>
      <c r="E5" s="327" t="str">
        <f>CONCATENATE("Current Year Estimate ",J1-1,"")</f>
        <v>Current Year Estimate -1</v>
      </c>
      <c r="F5" s="113"/>
      <c r="G5" s="111" t="str">
        <f>CONCATENATE("Proposed Budget ",J1,"")</f>
        <v>Proposed Budget 0</v>
      </c>
      <c r="H5" s="112"/>
      <c r="I5" s="112"/>
      <c r="J5" s="113"/>
    </row>
    <row r="6" spans="2:10" ht="21" customHeight="1">
      <c r="B6" s="628"/>
      <c r="C6" s="114"/>
      <c r="D6" s="114" t="s">
        <v>116</v>
      </c>
      <c r="E6" s="114"/>
      <c r="F6" s="114" t="s">
        <v>116</v>
      </c>
      <c r="G6" s="421" t="s">
        <v>665</v>
      </c>
      <c r="H6" s="826" t="str">
        <f>CONCATENATE("Amount of ",J1-1," Ad Valorem Tax")</f>
        <v>Amount of -1 Ad Valorem Tax</v>
      </c>
      <c r="I6" s="826" t="str">
        <f>CONCATENATE("July 1, ",J1-1," Est. Valuation")</f>
        <v>July 1, -1 Est. Valuation</v>
      </c>
      <c r="J6" s="114" t="s">
        <v>117</v>
      </c>
    </row>
    <row r="7" spans="2:10" ht="15.75">
      <c r="B7" s="117" t="s">
        <v>131</v>
      </c>
      <c r="C7" s="207" t="s">
        <v>28</v>
      </c>
      <c r="D7" s="207" t="s">
        <v>119</v>
      </c>
      <c r="E7" s="207" t="s">
        <v>224</v>
      </c>
      <c r="F7" s="207" t="s">
        <v>119</v>
      </c>
      <c r="G7" s="422" t="s">
        <v>666</v>
      </c>
      <c r="H7" s="818"/>
      <c r="I7" s="818"/>
      <c r="J7" s="207" t="s">
        <v>119</v>
      </c>
    </row>
    <row r="8" spans="2:10" ht="15.75">
      <c r="B8" s="94"/>
      <c r="C8" s="94"/>
      <c r="D8" s="64"/>
      <c r="E8" s="94"/>
      <c r="F8" s="64"/>
      <c r="G8" s="94"/>
      <c r="H8" s="94"/>
      <c r="I8" s="94"/>
      <c r="J8" s="329" t="str">
        <f>IF(I8&lt;&gt;0,ROUND(H8/I8*1000,3)," ")</f>
        <v> </v>
      </c>
    </row>
    <row r="9" spans="2:10" ht="15.75">
      <c r="B9" s="94"/>
      <c r="C9" s="94"/>
      <c r="D9" s="64"/>
      <c r="E9" s="94"/>
      <c r="F9" s="64"/>
      <c r="G9" s="94"/>
      <c r="H9" s="94"/>
      <c r="I9" s="94"/>
      <c r="J9" s="329" t="str">
        <f aca="true" t="shared" si="0" ref="J9:J36">IF(I9&lt;&gt;0,ROUND(H9/I9*1000,3)," ")</f>
        <v> </v>
      </c>
    </row>
    <row r="10" spans="2:10" ht="15.75">
      <c r="B10" s="94"/>
      <c r="C10" s="94"/>
      <c r="D10" s="64"/>
      <c r="E10" s="94"/>
      <c r="F10" s="64"/>
      <c r="G10" s="94"/>
      <c r="H10" s="94"/>
      <c r="I10" s="94"/>
      <c r="J10" s="329" t="str">
        <f t="shared" si="0"/>
        <v> </v>
      </c>
    </row>
    <row r="11" spans="2:10" ht="15.75">
      <c r="B11" s="94"/>
      <c r="C11" s="94"/>
      <c r="D11" s="64"/>
      <c r="E11" s="94"/>
      <c r="F11" s="64"/>
      <c r="G11" s="94"/>
      <c r="H11" s="94"/>
      <c r="I11" s="94"/>
      <c r="J11" s="329" t="str">
        <f t="shared" si="0"/>
        <v> </v>
      </c>
    </row>
    <row r="12" spans="2:10" ht="15.75">
      <c r="B12" s="94"/>
      <c r="C12" s="94"/>
      <c r="D12" s="64"/>
      <c r="E12" s="94"/>
      <c r="F12" s="64"/>
      <c r="G12" s="94"/>
      <c r="H12" s="94"/>
      <c r="I12" s="94"/>
      <c r="J12" s="329" t="str">
        <f t="shared" si="0"/>
        <v> </v>
      </c>
    </row>
    <row r="13" spans="2:10" ht="15.75">
      <c r="B13" s="94"/>
      <c r="C13" s="94"/>
      <c r="D13" s="64"/>
      <c r="E13" s="94"/>
      <c r="F13" s="64"/>
      <c r="G13" s="94"/>
      <c r="H13" s="94"/>
      <c r="I13" s="94"/>
      <c r="J13" s="329" t="str">
        <f t="shared" si="0"/>
        <v> </v>
      </c>
    </row>
    <row r="14" spans="2:10" ht="15.75">
      <c r="B14" s="94"/>
      <c r="C14" s="94"/>
      <c r="D14" s="64"/>
      <c r="E14" s="94"/>
      <c r="F14" s="64"/>
      <c r="G14" s="94"/>
      <c r="H14" s="94"/>
      <c r="I14" s="94"/>
      <c r="J14" s="329" t="str">
        <f t="shared" si="0"/>
        <v> </v>
      </c>
    </row>
    <row r="15" spans="2:10" ht="15.75">
      <c r="B15" s="94"/>
      <c r="C15" s="94"/>
      <c r="D15" s="64"/>
      <c r="E15" s="94"/>
      <c r="F15" s="64"/>
      <c r="G15" s="94"/>
      <c r="H15" s="94"/>
      <c r="I15" s="94"/>
      <c r="J15" s="329" t="str">
        <f t="shared" si="0"/>
        <v> </v>
      </c>
    </row>
    <row r="16" spans="2:10" ht="15.75">
      <c r="B16" s="94"/>
      <c r="C16" s="94"/>
      <c r="D16" s="64"/>
      <c r="E16" s="94"/>
      <c r="F16" s="64"/>
      <c r="G16" s="94"/>
      <c r="H16" s="94"/>
      <c r="I16" s="94"/>
      <c r="J16" s="329" t="str">
        <f t="shared" si="0"/>
        <v> </v>
      </c>
    </row>
    <row r="17" spans="2:10" ht="15.75">
      <c r="B17" s="94"/>
      <c r="C17" s="94"/>
      <c r="D17" s="64"/>
      <c r="E17" s="94"/>
      <c r="F17" s="64"/>
      <c r="G17" s="94"/>
      <c r="H17" s="94"/>
      <c r="I17" s="94"/>
      <c r="J17" s="329" t="str">
        <f t="shared" si="0"/>
        <v> </v>
      </c>
    </row>
    <row r="18" spans="2:10" ht="15.75">
      <c r="B18" s="94"/>
      <c r="C18" s="94"/>
      <c r="D18" s="64"/>
      <c r="E18" s="94"/>
      <c r="F18" s="64"/>
      <c r="G18" s="94"/>
      <c r="H18" s="94"/>
      <c r="I18" s="94"/>
      <c r="J18" s="329" t="str">
        <f t="shared" si="0"/>
        <v> </v>
      </c>
    </row>
    <row r="19" spans="2:10" ht="15.75">
      <c r="B19" s="94"/>
      <c r="C19" s="94"/>
      <c r="D19" s="64"/>
      <c r="E19" s="94"/>
      <c r="F19" s="64"/>
      <c r="G19" s="94"/>
      <c r="H19" s="94"/>
      <c r="I19" s="94"/>
      <c r="J19" s="329" t="str">
        <f t="shared" si="0"/>
        <v> </v>
      </c>
    </row>
    <row r="20" spans="2:10" ht="15.75">
      <c r="B20" s="94"/>
      <c r="C20" s="94"/>
      <c r="D20" s="64"/>
      <c r="E20" s="94"/>
      <c r="F20" s="64"/>
      <c r="G20" s="94"/>
      <c r="H20" s="94"/>
      <c r="I20" s="94"/>
      <c r="J20" s="329" t="str">
        <f t="shared" si="0"/>
        <v> </v>
      </c>
    </row>
    <row r="21" spans="2:10" ht="15.75">
      <c r="B21" s="94"/>
      <c r="C21" s="94"/>
      <c r="D21" s="64"/>
      <c r="E21" s="94"/>
      <c r="F21" s="64"/>
      <c r="G21" s="94"/>
      <c r="H21" s="94"/>
      <c r="I21" s="94"/>
      <c r="J21" s="329" t="str">
        <f t="shared" si="0"/>
        <v> </v>
      </c>
    </row>
    <row r="22" spans="2:10" ht="15.75">
      <c r="B22" s="94"/>
      <c r="C22" s="94"/>
      <c r="D22" s="64"/>
      <c r="E22" s="94"/>
      <c r="F22" s="64"/>
      <c r="G22" s="94"/>
      <c r="H22" s="94"/>
      <c r="I22" s="94"/>
      <c r="J22" s="329" t="str">
        <f t="shared" si="0"/>
        <v> </v>
      </c>
    </row>
    <row r="23" spans="2:10" ht="15.75">
      <c r="B23" s="94"/>
      <c r="C23" s="94"/>
      <c r="D23" s="64"/>
      <c r="E23" s="94"/>
      <c r="F23" s="64"/>
      <c r="G23" s="94"/>
      <c r="H23" s="94"/>
      <c r="I23" s="94"/>
      <c r="J23" s="329" t="str">
        <f t="shared" si="0"/>
        <v> </v>
      </c>
    </row>
    <row r="24" spans="2:10" ht="15.75">
      <c r="B24" s="94"/>
      <c r="C24" s="94"/>
      <c r="D24" s="64"/>
      <c r="E24" s="94"/>
      <c r="F24" s="64"/>
      <c r="G24" s="94"/>
      <c r="H24" s="94"/>
      <c r="I24" s="94"/>
      <c r="J24" s="329" t="str">
        <f t="shared" si="0"/>
        <v> </v>
      </c>
    </row>
    <row r="25" spans="2:10" ht="15.75">
      <c r="B25" s="94"/>
      <c r="C25" s="94"/>
      <c r="D25" s="64"/>
      <c r="E25" s="94"/>
      <c r="F25" s="64"/>
      <c r="G25" s="94"/>
      <c r="H25" s="94"/>
      <c r="I25" s="94"/>
      <c r="J25" s="329" t="str">
        <f t="shared" si="0"/>
        <v> </v>
      </c>
    </row>
    <row r="26" spans="2:10" ht="15.75">
      <c r="B26" s="94"/>
      <c r="C26" s="94"/>
      <c r="D26" s="64"/>
      <c r="E26" s="94"/>
      <c r="F26" s="64"/>
      <c r="G26" s="94"/>
      <c r="H26" s="94"/>
      <c r="I26" s="94"/>
      <c r="J26" s="329" t="str">
        <f t="shared" si="0"/>
        <v> </v>
      </c>
    </row>
    <row r="27" spans="2:10" ht="15.75">
      <c r="B27" s="94"/>
      <c r="C27" s="94"/>
      <c r="D27" s="64"/>
      <c r="E27" s="94"/>
      <c r="F27" s="64"/>
      <c r="G27" s="94"/>
      <c r="H27" s="94"/>
      <c r="I27" s="94"/>
      <c r="J27" s="329" t="str">
        <f t="shared" si="0"/>
        <v> </v>
      </c>
    </row>
    <row r="28" spans="2:10" ht="15.75">
      <c r="B28" s="94"/>
      <c r="C28" s="94"/>
      <c r="D28" s="64"/>
      <c r="E28" s="94"/>
      <c r="F28" s="64"/>
      <c r="G28" s="94"/>
      <c r="H28" s="94"/>
      <c r="I28" s="94"/>
      <c r="J28" s="329" t="str">
        <f t="shared" si="0"/>
        <v> </v>
      </c>
    </row>
    <row r="29" spans="2:10" ht="15.75">
      <c r="B29" s="94"/>
      <c r="C29" s="94"/>
      <c r="D29" s="64"/>
      <c r="E29" s="94"/>
      <c r="F29" s="64"/>
      <c r="G29" s="94"/>
      <c r="H29" s="94"/>
      <c r="I29" s="94"/>
      <c r="J29" s="329" t="str">
        <f t="shared" si="0"/>
        <v> </v>
      </c>
    </row>
    <row r="30" spans="2:10" ht="15.75">
      <c r="B30" s="94"/>
      <c r="C30" s="94"/>
      <c r="D30" s="64"/>
      <c r="E30" s="94"/>
      <c r="F30" s="64"/>
      <c r="G30" s="94"/>
      <c r="H30" s="94"/>
      <c r="I30" s="94"/>
      <c r="J30" s="329" t="str">
        <f t="shared" si="0"/>
        <v> </v>
      </c>
    </row>
    <row r="31" spans="2:10" ht="15.75">
      <c r="B31" s="94"/>
      <c r="C31" s="94"/>
      <c r="D31" s="64"/>
      <c r="E31" s="94"/>
      <c r="F31" s="64"/>
      <c r="G31" s="94"/>
      <c r="H31" s="94"/>
      <c r="I31" s="94"/>
      <c r="J31" s="329" t="str">
        <f t="shared" si="0"/>
        <v> </v>
      </c>
    </row>
    <row r="32" spans="2:10" ht="15.75">
      <c r="B32" s="94"/>
      <c r="C32" s="94"/>
      <c r="D32" s="64"/>
      <c r="E32" s="94"/>
      <c r="F32" s="64"/>
      <c r="G32" s="94"/>
      <c r="H32" s="94"/>
      <c r="I32" s="94"/>
      <c r="J32" s="329" t="str">
        <f t="shared" si="0"/>
        <v> </v>
      </c>
    </row>
    <row r="33" spans="2:10" ht="15.75">
      <c r="B33" s="94"/>
      <c r="C33" s="94"/>
      <c r="D33" s="64"/>
      <c r="E33" s="94"/>
      <c r="F33" s="64"/>
      <c r="G33" s="94"/>
      <c r="H33" s="94"/>
      <c r="I33" s="94"/>
      <c r="J33" s="329" t="str">
        <f t="shared" si="0"/>
        <v> </v>
      </c>
    </row>
    <row r="34" spans="2:10" ht="15.75">
      <c r="B34" s="94"/>
      <c r="C34" s="94"/>
      <c r="D34" s="64"/>
      <c r="E34" s="94"/>
      <c r="F34" s="64"/>
      <c r="G34" s="94"/>
      <c r="H34" s="94"/>
      <c r="I34" s="94"/>
      <c r="J34" s="329" t="str">
        <f t="shared" si="0"/>
        <v> </v>
      </c>
    </row>
    <row r="35" spans="2:10" ht="15.75">
      <c r="B35" s="94"/>
      <c r="C35" s="94"/>
      <c r="D35" s="64"/>
      <c r="E35" s="94"/>
      <c r="F35" s="64"/>
      <c r="G35" s="94"/>
      <c r="H35" s="94"/>
      <c r="I35" s="94"/>
      <c r="J35" s="329" t="str">
        <f t="shared" si="0"/>
        <v> </v>
      </c>
    </row>
    <row r="36" spans="2:10" ht="15.75">
      <c r="B36" s="94"/>
      <c r="C36" s="94"/>
      <c r="D36" s="64"/>
      <c r="E36" s="94"/>
      <c r="F36" s="64"/>
      <c r="G36" s="94"/>
      <c r="H36" s="94"/>
      <c r="I36" s="94"/>
      <c r="J36" s="329" t="str">
        <f t="shared" si="0"/>
        <v> </v>
      </c>
    </row>
    <row r="37" spans="2:10" ht="15.75">
      <c r="B37" s="59" t="s">
        <v>46</v>
      </c>
      <c r="C37" s="262">
        <f>SUM(C8:C36)</f>
        <v>0</v>
      </c>
      <c r="D37" s="71">
        <f>SUM(D8:D24)</f>
        <v>0</v>
      </c>
      <c r="E37" s="262">
        <f>SUM(E8:E36)</f>
        <v>0</v>
      </c>
      <c r="F37" s="71">
        <f>SUM(F8:F24)</f>
        <v>0</v>
      </c>
      <c r="G37" s="262">
        <f>SUM(G8:G36)</f>
        <v>0</v>
      </c>
      <c r="H37" s="262">
        <f>SUM(H8:H36)</f>
        <v>0</v>
      </c>
      <c r="I37" s="81"/>
      <c r="J37" s="71">
        <f>SUM(J8:J24)</f>
        <v>0</v>
      </c>
    </row>
    <row r="38" spans="2:10" ht="15.75">
      <c r="B38" s="45"/>
      <c r="C38" s="45"/>
      <c r="D38" s="45"/>
      <c r="E38" s="45"/>
      <c r="F38" s="45"/>
      <c r="G38" s="45"/>
      <c r="H38" s="45"/>
      <c r="I38" s="45"/>
      <c r="J38" s="45"/>
    </row>
    <row r="39" spans="2:10" ht="15.75">
      <c r="B39" s="44" t="s">
        <v>129</v>
      </c>
      <c r="C39" s="45"/>
      <c r="D39" s="45"/>
      <c r="E39" s="45"/>
      <c r="F39" s="45"/>
      <c r="G39" s="45"/>
      <c r="H39" s="45"/>
      <c r="I39" s="45"/>
      <c r="J39" s="45"/>
    </row>
    <row r="40" spans="2:10" ht="15.75">
      <c r="B40" s="45"/>
      <c r="C40" s="45"/>
      <c r="D40" s="45"/>
      <c r="E40" s="45"/>
      <c r="F40" s="45"/>
      <c r="G40" s="45"/>
      <c r="H40" s="45"/>
      <c r="I40" s="45"/>
      <c r="J40" s="45"/>
    </row>
    <row r="41" spans="2:10" ht="15.75">
      <c r="B41" s="416"/>
      <c r="C41" s="45"/>
      <c r="D41" s="45"/>
      <c r="E41" s="45"/>
      <c r="F41" s="45"/>
      <c r="G41" s="45"/>
      <c r="H41" s="45"/>
      <c r="I41" s="45"/>
      <c r="J41" s="45"/>
    </row>
    <row r="42" spans="2:10" ht="15.75">
      <c r="B42" s="109" t="s">
        <v>130</v>
      </c>
      <c r="C42" s="45"/>
      <c r="D42" s="45"/>
      <c r="E42" s="231" t="s">
        <v>60</v>
      </c>
      <c r="F42" s="709"/>
      <c r="G42" s="45"/>
      <c r="H42" s="45"/>
      <c r="I42" s="45"/>
      <c r="J42" s="45"/>
    </row>
    <row r="44" spans="2:10" ht="15.75">
      <c r="B44" s="89"/>
      <c r="C44" s="89"/>
      <c r="D44" s="89"/>
      <c r="E44" s="89"/>
      <c r="F44" s="89"/>
      <c r="G44" s="89"/>
      <c r="H44" s="89"/>
      <c r="I44" s="89"/>
      <c r="J44" s="89"/>
    </row>
    <row r="45" spans="2:10" ht="15.75">
      <c r="B45" s="157"/>
      <c r="C45" s="89"/>
      <c r="D45" s="89"/>
      <c r="E45" s="89"/>
      <c r="F45" s="89"/>
      <c r="G45" s="89"/>
      <c r="H45" s="89"/>
      <c r="I45" s="89"/>
      <c r="J45" s="89"/>
    </row>
    <row r="46" spans="2:10" ht="15.75">
      <c r="B46" s="157"/>
      <c r="C46" s="147"/>
      <c r="D46" s="89"/>
      <c r="E46" s="147"/>
      <c r="F46" s="89"/>
      <c r="G46" s="147"/>
      <c r="H46" s="89"/>
      <c r="I46" s="89"/>
      <c r="J46" s="89"/>
    </row>
    <row r="47" spans="2:10" ht="15.75">
      <c r="B47" s="157"/>
      <c r="C47" s="157"/>
      <c r="D47" s="89"/>
      <c r="E47" s="157"/>
      <c r="F47" s="89"/>
      <c r="G47" s="157"/>
      <c r="H47" s="89"/>
      <c r="I47" s="89"/>
      <c r="J47" s="89"/>
    </row>
    <row r="48" spans="2:10" ht="15.75">
      <c r="B48" s="157"/>
      <c r="C48" s="157"/>
      <c r="D48" s="89"/>
      <c r="E48" s="157"/>
      <c r="F48" s="89"/>
      <c r="G48" s="157"/>
      <c r="H48" s="89"/>
      <c r="I48" s="89"/>
      <c r="J48" s="89"/>
    </row>
    <row r="49" spans="2:10" ht="15.75">
      <c r="B49" s="157"/>
      <c r="C49" s="157"/>
      <c r="D49" s="89"/>
      <c r="E49" s="157"/>
      <c r="F49" s="89"/>
      <c r="G49" s="157"/>
      <c r="H49" s="89"/>
      <c r="I49" s="89"/>
      <c r="J49" s="89"/>
    </row>
    <row r="50" spans="2:10" ht="15.75">
      <c r="B50" s="157"/>
      <c r="C50" s="157"/>
      <c r="D50" s="89"/>
      <c r="E50" s="157"/>
      <c r="F50" s="89"/>
      <c r="G50" s="157"/>
      <c r="H50" s="89"/>
      <c r="I50" s="89"/>
      <c r="J50" s="89"/>
    </row>
    <row r="51" spans="2:10" ht="15.75">
      <c r="B51" s="157"/>
      <c r="C51" s="157"/>
      <c r="D51" s="89"/>
      <c r="E51" s="157"/>
      <c r="F51" s="89"/>
      <c r="G51" s="157"/>
      <c r="H51" s="89"/>
      <c r="I51" s="89"/>
      <c r="J51" s="89"/>
    </row>
    <row r="52" spans="3:10" ht="15.75">
      <c r="C52" s="89"/>
      <c r="D52" s="89"/>
      <c r="E52" s="89"/>
      <c r="F52" s="89"/>
      <c r="G52" s="89"/>
      <c r="H52" s="89"/>
      <c r="I52" s="89"/>
      <c r="J52" s="89"/>
    </row>
    <row r="53" spans="3:10" ht="15.75">
      <c r="C53" s="89"/>
      <c r="D53" s="89"/>
      <c r="E53" s="89"/>
      <c r="F53" s="89"/>
      <c r="G53" s="89"/>
      <c r="H53" s="89"/>
      <c r="I53" s="89"/>
      <c r="J53" s="89"/>
    </row>
    <row r="54" spans="3:10" ht="15.75">
      <c r="C54" s="333"/>
      <c r="D54" s="89"/>
      <c r="E54" s="89"/>
      <c r="F54" s="89"/>
      <c r="G54" s="89"/>
      <c r="H54" s="89"/>
      <c r="I54" s="89"/>
      <c r="J54" s="89"/>
    </row>
    <row r="55" spans="3:10" ht="15.75">
      <c r="C55" s="334"/>
      <c r="D55" s="89"/>
      <c r="E55" s="89"/>
      <c r="F55" s="89"/>
      <c r="G55" s="89"/>
      <c r="H55" s="89"/>
      <c r="I55" s="89"/>
      <c r="J55" s="89"/>
    </row>
    <row r="56" spans="2:10" ht="15.75">
      <c r="B56" s="89"/>
      <c r="C56" s="89"/>
      <c r="D56" s="89"/>
      <c r="E56" s="89"/>
      <c r="F56" s="89"/>
      <c r="G56" s="89"/>
      <c r="H56" s="89"/>
      <c r="I56" s="89"/>
      <c r="J56" s="89"/>
    </row>
    <row r="57" spans="2:10" ht="15.75">
      <c r="B57" s="89"/>
      <c r="C57" s="89"/>
      <c r="D57" s="335"/>
      <c r="E57" s="89"/>
      <c r="F57" s="89"/>
      <c r="G57" s="89"/>
      <c r="H57" s="89"/>
      <c r="I57" s="89"/>
      <c r="J57" s="89"/>
    </row>
  </sheetData>
  <sheetProtection sheet="1"/>
  <mergeCells count="2">
    <mergeCell ref="H6:H7"/>
    <mergeCell ref="I6:I7"/>
  </mergeCells>
  <printOptions/>
  <pageMargins left="1.12" right="0.5" top="0.74" bottom="0.34" header="0.5" footer="0"/>
  <pageSetup blackAndWhite="1" fitToHeight="1" fitToWidth="1" horizontalDpi="120" verticalDpi="120" orientation="portrait" scale="51" r:id="rId1"/>
  <headerFooter alignWithMargins="0">
    <oddHeader>&amp;RState of Kansas
County
</oddHeader>
  </headerFooter>
</worksheet>
</file>

<file path=xl/worksheets/sheet38.xml><?xml version="1.0" encoding="utf-8"?>
<worksheet xmlns="http://schemas.openxmlformats.org/spreadsheetml/2006/main" xmlns:r="http://schemas.openxmlformats.org/officeDocument/2006/relationships">
  <sheetPr>
    <pageSetUpPr fitToPage="1"/>
  </sheetPr>
  <dimension ref="A1:F53"/>
  <sheetViews>
    <sheetView zoomScalePageLayoutView="0" workbookViewId="0" topLeftCell="A1">
      <selection activeCell="S130" sqref="S130"/>
    </sheetView>
  </sheetViews>
  <sheetFormatPr defaultColWidth="8.796875" defaultRowHeight="15"/>
  <cols>
    <col min="1" max="1" width="6.69921875" style="26" customWidth="1"/>
    <col min="2" max="2" width="21.19921875" style="26" customWidth="1"/>
    <col min="3" max="3" width="11.796875" style="26" customWidth="1"/>
    <col min="4" max="4" width="12.796875" style="26" customWidth="1"/>
    <col min="5" max="5" width="11.796875" style="26" customWidth="1"/>
    <col min="6" max="16384" width="8.8984375" style="26" customWidth="1"/>
  </cols>
  <sheetData>
    <row r="1" spans="1:6" ht="15.75">
      <c r="A1" s="160">
        <f>inputPrYr!C3</f>
        <v>0</v>
      </c>
      <c r="B1" s="45"/>
      <c r="C1" s="45"/>
      <c r="D1" s="45"/>
      <c r="E1" s="45"/>
      <c r="F1" s="45">
        <f>inputPrYr!C5</f>
        <v>0</v>
      </c>
    </row>
    <row r="2" spans="1:6" ht="15.75">
      <c r="A2" s="45"/>
      <c r="B2" s="45"/>
      <c r="C2" s="45"/>
      <c r="D2" s="45"/>
      <c r="E2" s="45"/>
      <c r="F2" s="45"/>
    </row>
    <row r="3" spans="1:6" ht="15.75">
      <c r="A3" s="45"/>
      <c r="B3" s="835" t="str">
        <f>CONCATENATE("",F1," Neighborhood Revitalization Rebate")</f>
        <v>0 Neighborhood Revitalization Rebate</v>
      </c>
      <c r="C3" s="880"/>
      <c r="D3" s="880"/>
      <c r="E3" s="880"/>
      <c r="F3" s="45"/>
    </row>
    <row r="4" spans="1:6" ht="15.75">
      <c r="A4" s="45"/>
      <c r="B4" s="45"/>
      <c r="C4" s="45"/>
      <c r="D4" s="45"/>
      <c r="E4" s="45"/>
      <c r="F4" s="45"/>
    </row>
    <row r="5" spans="1:6" ht="51" customHeight="1">
      <c r="A5" s="45"/>
      <c r="B5" s="336" t="str">
        <f>CONCATENATE("Budgeted Funds                        for ",F1,"")</f>
        <v>Budgeted Funds                        for 0</v>
      </c>
      <c r="C5" s="336" t="str">
        <f>CONCATENATE("",F1-1," Ad Valorem before Rebate**")</f>
        <v>-1 Ad Valorem before Rebate**</v>
      </c>
      <c r="D5" s="337" t="str">
        <f>CONCATENATE("",F1-1," Mil Rate before Rebate")</f>
        <v>-1 Mil Rate before Rebate</v>
      </c>
      <c r="E5" s="338" t="str">
        <f>CONCATENATE("Estimate ",F1," NR Rebate")</f>
        <v>Estimate 0 NR Rebate</v>
      </c>
      <c r="F5" s="82"/>
    </row>
    <row r="6" spans="1:6" ht="15.75">
      <c r="A6" s="45"/>
      <c r="B6" s="59" t="str">
        <f>inputPrYr!B17</f>
        <v>General</v>
      </c>
      <c r="C6" s="339"/>
      <c r="D6" s="340">
        <f>IF(C6&gt;0,C6/$D$36,"")</f>
      </c>
      <c r="E6" s="223">
        <f aca="true" t="shared" si="0" ref="E6:E30">IF(C6&gt;0,ROUND(D6*$D$40,0),0)</f>
        <v>0</v>
      </c>
      <c r="F6" s="82"/>
    </row>
    <row r="7" spans="1:6" ht="15.75">
      <c r="A7" s="45"/>
      <c r="B7" s="59" t="str">
        <f>inputPrYr!B18</f>
        <v>Debt Service</v>
      </c>
      <c r="C7" s="339"/>
      <c r="D7" s="340">
        <f aca="true" t="shared" si="1" ref="D7:D30">IF(C7&gt;0,C7/$D$36,"")</f>
      </c>
      <c r="E7" s="223">
        <f t="shared" si="0"/>
        <v>0</v>
      </c>
      <c r="F7" s="82"/>
    </row>
    <row r="8" spans="1:6" ht="15.75">
      <c r="A8" s="45"/>
      <c r="B8" s="59" t="str">
        <f>inputPrYr!B19</f>
        <v>Road &amp; Bridge</v>
      </c>
      <c r="C8" s="339"/>
      <c r="D8" s="340">
        <f t="shared" si="1"/>
      </c>
      <c r="E8" s="223">
        <f t="shared" si="0"/>
        <v>0</v>
      </c>
      <c r="F8" s="82"/>
    </row>
    <row r="9" spans="1:6" ht="15.75">
      <c r="A9" s="45"/>
      <c r="B9" s="59">
        <f>inputPrYr!B20</f>
        <v>0</v>
      </c>
      <c r="C9" s="339"/>
      <c r="D9" s="340">
        <f t="shared" si="1"/>
      </c>
      <c r="E9" s="223">
        <f t="shared" si="0"/>
        <v>0</v>
      </c>
      <c r="F9" s="82"/>
    </row>
    <row r="10" spans="1:6" ht="15.75">
      <c r="A10" s="45"/>
      <c r="B10" s="59">
        <f>inputPrYr!B21</f>
        <v>0</v>
      </c>
      <c r="C10" s="339"/>
      <c r="D10" s="340">
        <f t="shared" si="1"/>
      </c>
      <c r="E10" s="223">
        <f t="shared" si="0"/>
        <v>0</v>
      </c>
      <c r="F10" s="82"/>
    </row>
    <row r="11" spans="1:6" ht="15.75">
      <c r="A11" s="45"/>
      <c r="B11" s="59">
        <f>inputPrYr!B22</f>
        <v>0</v>
      </c>
      <c r="C11" s="339"/>
      <c r="D11" s="340">
        <f t="shared" si="1"/>
      </c>
      <c r="E11" s="223">
        <f t="shared" si="0"/>
        <v>0</v>
      </c>
      <c r="F11" s="82"/>
    </row>
    <row r="12" spans="1:6" ht="15.75">
      <c r="A12" s="45"/>
      <c r="B12" s="59">
        <f>inputPrYr!B23</f>
        <v>0</v>
      </c>
      <c r="C12" s="341"/>
      <c r="D12" s="340">
        <f t="shared" si="1"/>
      </c>
      <c r="E12" s="223">
        <f t="shared" si="0"/>
        <v>0</v>
      </c>
      <c r="F12" s="82"/>
    </row>
    <row r="13" spans="1:6" ht="15.75">
      <c r="A13" s="45"/>
      <c r="B13" s="59">
        <f>inputPrYr!B24</f>
        <v>0</v>
      </c>
      <c r="C13" s="341"/>
      <c r="D13" s="340">
        <f t="shared" si="1"/>
      </c>
      <c r="E13" s="223">
        <f t="shared" si="0"/>
        <v>0</v>
      </c>
      <c r="F13" s="82"/>
    </row>
    <row r="14" spans="1:6" ht="15.75">
      <c r="A14" s="45"/>
      <c r="B14" s="59">
        <f>inputPrYr!B25</f>
        <v>0</v>
      </c>
      <c r="C14" s="341"/>
      <c r="D14" s="340">
        <f t="shared" si="1"/>
      </c>
      <c r="E14" s="223">
        <f t="shared" si="0"/>
        <v>0</v>
      </c>
      <c r="F14" s="82"/>
    </row>
    <row r="15" spans="1:6" ht="15.75">
      <c r="A15" s="45"/>
      <c r="B15" s="59">
        <f>inputPrYr!B26</f>
        <v>0</v>
      </c>
      <c r="C15" s="341"/>
      <c r="D15" s="340">
        <f t="shared" si="1"/>
      </c>
      <c r="E15" s="223">
        <f t="shared" si="0"/>
        <v>0</v>
      </c>
      <c r="F15" s="82"/>
    </row>
    <row r="16" spans="1:6" ht="15.75">
      <c r="A16" s="45"/>
      <c r="B16" s="59">
        <f>inputPrYr!B27</f>
        <v>0</v>
      </c>
      <c r="C16" s="341"/>
      <c r="D16" s="340">
        <f t="shared" si="1"/>
      </c>
      <c r="E16" s="223">
        <f t="shared" si="0"/>
        <v>0</v>
      </c>
      <c r="F16" s="82"/>
    </row>
    <row r="17" spans="1:6" ht="15.75">
      <c r="A17" s="45"/>
      <c r="B17" s="59">
        <f>inputPrYr!B28</f>
        <v>0</v>
      </c>
      <c r="C17" s="341"/>
      <c r="D17" s="340">
        <f t="shared" si="1"/>
      </c>
      <c r="E17" s="223">
        <f t="shared" si="0"/>
        <v>0</v>
      </c>
      <c r="F17" s="82"/>
    </row>
    <row r="18" spans="1:6" ht="15.75">
      <c r="A18" s="45"/>
      <c r="B18" s="59">
        <f>inputPrYr!B29</f>
        <v>0</v>
      </c>
      <c r="C18" s="341"/>
      <c r="D18" s="340">
        <f t="shared" si="1"/>
      </c>
      <c r="E18" s="223">
        <f t="shared" si="0"/>
        <v>0</v>
      </c>
      <c r="F18" s="82"/>
    </row>
    <row r="19" spans="1:6" ht="15.75">
      <c r="A19" s="45"/>
      <c r="B19" s="59">
        <f>inputPrYr!B30</f>
        <v>0</v>
      </c>
      <c r="C19" s="341"/>
      <c r="D19" s="340">
        <f t="shared" si="1"/>
      </c>
      <c r="E19" s="223">
        <f t="shared" si="0"/>
        <v>0</v>
      </c>
      <c r="F19" s="82"/>
    </row>
    <row r="20" spans="1:6" ht="15.75">
      <c r="A20" s="45"/>
      <c r="B20" s="59">
        <f>inputPrYr!B31</f>
        <v>0</v>
      </c>
      <c r="C20" s="341"/>
      <c r="D20" s="340">
        <f t="shared" si="1"/>
      </c>
      <c r="E20" s="223">
        <f t="shared" si="0"/>
        <v>0</v>
      </c>
      <c r="F20" s="82"/>
    </row>
    <row r="21" spans="1:6" ht="15.75">
      <c r="A21" s="45"/>
      <c r="B21" s="59">
        <f>inputPrYr!B32</f>
        <v>0</v>
      </c>
      <c r="C21" s="341"/>
      <c r="D21" s="340">
        <f t="shared" si="1"/>
      </c>
      <c r="E21" s="223">
        <f t="shared" si="0"/>
        <v>0</v>
      </c>
      <c r="F21" s="82"/>
    </row>
    <row r="22" spans="1:6" ht="15.75">
      <c r="A22" s="45"/>
      <c r="B22" s="59">
        <f>inputPrYr!B33</f>
        <v>0</v>
      </c>
      <c r="C22" s="341"/>
      <c r="D22" s="340">
        <f t="shared" si="1"/>
      </c>
      <c r="E22" s="223">
        <f t="shared" si="0"/>
        <v>0</v>
      </c>
      <c r="F22" s="82"/>
    </row>
    <row r="23" spans="1:6" ht="15.75">
      <c r="A23" s="45"/>
      <c r="B23" s="59">
        <f>inputPrYr!B34</f>
        <v>0</v>
      </c>
      <c r="C23" s="341"/>
      <c r="D23" s="340">
        <f t="shared" si="1"/>
      </c>
      <c r="E23" s="223">
        <f t="shared" si="0"/>
        <v>0</v>
      </c>
      <c r="F23" s="82"/>
    </row>
    <row r="24" spans="1:6" ht="15.75">
      <c r="A24" s="45"/>
      <c r="B24" s="59">
        <f>inputPrYr!B35</f>
        <v>0</v>
      </c>
      <c r="C24" s="341"/>
      <c r="D24" s="340">
        <f t="shared" si="1"/>
      </c>
      <c r="E24" s="223">
        <f t="shared" si="0"/>
        <v>0</v>
      </c>
      <c r="F24" s="82"/>
    </row>
    <row r="25" spans="1:6" ht="15.75">
      <c r="A25" s="45"/>
      <c r="B25" s="59">
        <f>inputPrYr!B36</f>
        <v>0</v>
      </c>
      <c r="C25" s="341"/>
      <c r="D25" s="340">
        <f t="shared" si="1"/>
      </c>
      <c r="E25" s="223">
        <f t="shared" si="0"/>
        <v>0</v>
      </c>
      <c r="F25" s="82"/>
    </row>
    <row r="26" spans="1:6" ht="15.75">
      <c r="A26" s="45"/>
      <c r="B26" s="59">
        <f>inputPrYr!B37</f>
        <v>0</v>
      </c>
      <c r="C26" s="341"/>
      <c r="D26" s="340">
        <f t="shared" si="1"/>
      </c>
      <c r="E26" s="223">
        <f t="shared" si="0"/>
        <v>0</v>
      </c>
      <c r="F26" s="82"/>
    </row>
    <row r="27" spans="1:6" ht="15.75">
      <c r="A27" s="45"/>
      <c r="B27" s="59">
        <f>inputPrYr!B38</f>
        <v>0</v>
      </c>
      <c r="C27" s="341"/>
      <c r="D27" s="340">
        <f t="shared" si="1"/>
      </c>
      <c r="E27" s="223">
        <f t="shared" si="0"/>
        <v>0</v>
      </c>
      <c r="F27" s="82"/>
    </row>
    <row r="28" spans="1:6" ht="15.75">
      <c r="A28" s="45"/>
      <c r="B28" s="59">
        <f>inputPrYr!B39</f>
        <v>0</v>
      </c>
      <c r="C28" s="341"/>
      <c r="D28" s="340">
        <f t="shared" si="1"/>
      </c>
      <c r="E28" s="223">
        <f t="shared" si="0"/>
        <v>0</v>
      </c>
      <c r="F28" s="82"/>
    </row>
    <row r="29" spans="1:6" ht="15.75">
      <c r="A29" s="45"/>
      <c r="B29" s="59">
        <f>inputPrYr!B40</f>
        <v>0</v>
      </c>
      <c r="C29" s="341"/>
      <c r="D29" s="340">
        <f t="shared" si="1"/>
      </c>
      <c r="E29" s="223">
        <f t="shared" si="0"/>
        <v>0</v>
      </c>
      <c r="F29" s="82"/>
    </row>
    <row r="30" spans="1:6" ht="15.75">
      <c r="A30" s="45"/>
      <c r="B30" s="59">
        <f>inputPrYr!B41</f>
        <v>0</v>
      </c>
      <c r="C30" s="341"/>
      <c r="D30" s="340">
        <f t="shared" si="1"/>
      </c>
      <c r="E30" s="223">
        <f t="shared" si="0"/>
        <v>0</v>
      </c>
      <c r="F30" s="82"/>
    </row>
    <row r="31" spans="1:6" ht="16.5" thickBot="1">
      <c r="A31" s="45"/>
      <c r="B31" s="128" t="s">
        <v>42</v>
      </c>
      <c r="C31" s="342">
        <f>SUM(C6:C30)</f>
        <v>0</v>
      </c>
      <c r="D31" s="343">
        <f>SUM(D6:D30)</f>
        <v>0</v>
      </c>
      <c r="E31" s="342">
        <f>SUM(E6:E30)</f>
        <v>0</v>
      </c>
      <c r="F31" s="82"/>
    </row>
    <row r="32" spans="1:6" ht="16.5" thickTop="1">
      <c r="A32" s="45"/>
      <c r="B32" s="45"/>
      <c r="C32" s="45"/>
      <c r="D32" s="45"/>
      <c r="E32" s="45"/>
      <c r="F32" s="82"/>
    </row>
    <row r="33" spans="1:6" ht="15.75">
      <c r="A33" s="45"/>
      <c r="B33" s="45"/>
      <c r="C33" s="45"/>
      <c r="D33" s="45"/>
      <c r="E33" s="45"/>
      <c r="F33" s="82"/>
    </row>
    <row r="34" spans="1:6" ht="15.75">
      <c r="A34" s="881" t="str">
        <f>CONCATENATE("",F1-1," July 1 Valuation:")</f>
        <v>-1 July 1 Valuation:</v>
      </c>
      <c r="B34" s="855"/>
      <c r="C34" s="881"/>
      <c r="D34" s="184">
        <f>inputOth!E5</f>
        <v>0</v>
      </c>
      <c r="E34" s="45"/>
      <c r="F34" s="82"/>
    </row>
    <row r="35" spans="1:6" ht="15.75">
      <c r="A35" s="45"/>
      <c r="B35" s="45"/>
      <c r="C35" s="45"/>
      <c r="D35" s="45"/>
      <c r="E35" s="45"/>
      <c r="F35" s="82"/>
    </row>
    <row r="36" spans="1:6" ht="15.75">
      <c r="A36" s="45"/>
      <c r="B36" s="881" t="s">
        <v>410</v>
      </c>
      <c r="C36" s="881"/>
      <c r="D36" s="344">
        <f>IF(D34&gt;0,(D34*0.001),"")</f>
      </c>
      <c r="E36" s="45"/>
      <c r="F36" s="82"/>
    </row>
    <row r="37" spans="1:6" ht="15.75">
      <c r="A37" s="45"/>
      <c r="B37" s="231"/>
      <c r="C37" s="231"/>
      <c r="D37" s="345"/>
      <c r="E37" s="45"/>
      <c r="F37" s="82"/>
    </row>
    <row r="38" spans="1:6" ht="15.75">
      <c r="A38" s="879" t="s">
        <v>411</v>
      </c>
      <c r="B38" s="834"/>
      <c r="C38" s="834"/>
      <c r="D38" s="346">
        <f>inputOth!E11</f>
        <v>0</v>
      </c>
      <c r="E38" s="91"/>
      <c r="F38" s="91"/>
    </row>
    <row r="39" spans="1:6" ht="15">
      <c r="A39" s="91"/>
      <c r="B39" s="91"/>
      <c r="C39" s="91"/>
      <c r="D39" s="185"/>
      <c r="E39" s="91"/>
      <c r="F39" s="91"/>
    </row>
    <row r="40" spans="1:6" ht="15.75">
      <c r="A40" s="91"/>
      <c r="B40" s="879" t="s">
        <v>412</v>
      </c>
      <c r="C40" s="855"/>
      <c r="D40" s="347">
        <f>IF(D38&gt;0,(D38*0.001),"")</f>
      </c>
      <c r="E40" s="91"/>
      <c r="F40" s="91"/>
    </row>
    <row r="41" spans="1:6" ht="15">
      <c r="A41" s="91"/>
      <c r="B41" s="91"/>
      <c r="C41" s="91"/>
      <c r="D41" s="91"/>
      <c r="E41" s="91"/>
      <c r="F41" s="91"/>
    </row>
    <row r="42" spans="1:6" ht="15">
      <c r="A42" s="91"/>
      <c r="B42" s="91"/>
      <c r="C42" s="91"/>
      <c r="D42" s="91"/>
      <c r="E42" s="91"/>
      <c r="F42" s="91"/>
    </row>
    <row r="43" spans="1:6" ht="15">
      <c r="A43" s="91"/>
      <c r="B43" s="91"/>
      <c r="C43" s="91"/>
      <c r="D43" s="91"/>
      <c r="E43" s="91"/>
      <c r="F43" s="91"/>
    </row>
    <row r="44" spans="1:6" ht="15.75">
      <c r="A44" s="377" t="str">
        <f>CONCATENATE("**This information comes from the ",F1," Budget Summary page.  See instructions tab #11 for completing")</f>
        <v>**This information comes from the 0 Budget Summary page.  See instructions tab #11 for completing</v>
      </c>
      <c r="B44" s="91"/>
      <c r="C44" s="91"/>
      <c r="D44" s="91"/>
      <c r="E44" s="91"/>
      <c r="F44" s="91"/>
    </row>
    <row r="45" spans="1:6" ht="15.75">
      <c r="A45" s="377" t="s">
        <v>651</v>
      </c>
      <c r="B45" s="91"/>
      <c r="C45" s="91"/>
      <c r="D45" s="91"/>
      <c r="E45" s="91"/>
      <c r="F45" s="91"/>
    </row>
    <row r="46" spans="1:6" ht="15.75">
      <c r="A46" s="377"/>
      <c r="B46" s="91"/>
      <c r="C46" s="91"/>
      <c r="D46" s="91"/>
      <c r="E46" s="91"/>
      <c r="F46" s="91"/>
    </row>
    <row r="47" spans="1:6" ht="15.75">
      <c r="A47" s="377"/>
      <c r="B47" s="91"/>
      <c r="C47" s="91"/>
      <c r="D47" s="91"/>
      <c r="E47" s="91"/>
      <c r="F47" s="91"/>
    </row>
    <row r="48" spans="1:6" ht="15.75">
      <c r="A48" s="377"/>
      <c r="B48" s="91"/>
      <c r="C48" s="91"/>
      <c r="D48" s="91"/>
      <c r="E48" s="91"/>
      <c r="F48" s="91"/>
    </row>
    <row r="49" spans="1:6" ht="15.75">
      <c r="A49" s="377"/>
      <c r="B49" s="91"/>
      <c r="C49" s="91"/>
      <c r="D49" s="91"/>
      <c r="E49" s="91"/>
      <c r="F49" s="91"/>
    </row>
    <row r="50" spans="1:6" ht="15.75">
      <c r="A50" s="377"/>
      <c r="B50" s="91"/>
      <c r="C50" s="91"/>
      <c r="D50" s="91"/>
      <c r="E50" s="91"/>
      <c r="F50" s="91"/>
    </row>
    <row r="51" spans="1:6" ht="15">
      <c r="A51" s="91"/>
      <c r="B51" s="91"/>
      <c r="C51" s="91"/>
      <c r="D51" s="91"/>
      <c r="E51" s="91"/>
      <c r="F51" s="91"/>
    </row>
    <row r="52" spans="1:6" ht="15.75">
      <c r="A52" s="91"/>
      <c r="B52" s="265" t="s">
        <v>115</v>
      </c>
      <c r="C52" s="709"/>
      <c r="D52" s="91"/>
      <c r="E52" s="91"/>
      <c r="F52" s="91"/>
    </row>
    <row r="53" spans="1:6" ht="15.75">
      <c r="A53" s="82"/>
      <c r="B53" s="45"/>
      <c r="C53" s="45"/>
      <c r="D53" s="142"/>
      <c r="E53" s="82"/>
      <c r="F53" s="82"/>
    </row>
  </sheetData>
  <sheetProtection sheet="1"/>
  <mergeCells count="5">
    <mergeCell ref="B40:C40"/>
    <mergeCell ref="B3:E3"/>
    <mergeCell ref="A34:C34"/>
    <mergeCell ref="B36:C36"/>
    <mergeCell ref="A38:C38"/>
  </mergeCells>
  <printOptions/>
  <pageMargins left="0.75" right="0.75" top="1" bottom="1" header="0.5" footer="0.5"/>
  <pageSetup blackAndWhite="1" fitToHeight="1" fitToWidth="1" horizontalDpi="600" verticalDpi="600" orientation="portrait" scale="75" r:id="rId1"/>
  <headerFooter alignWithMargins="0">
    <oddHeader>&amp;RState of Kansas
County</oddHeader>
  </headerFooter>
</worksheet>
</file>

<file path=xl/worksheets/sheet39.xml><?xml version="1.0" encoding="utf-8"?>
<worksheet xmlns="http://schemas.openxmlformats.org/spreadsheetml/2006/main" xmlns:r="http://schemas.openxmlformats.org/officeDocument/2006/relationships">
  <sheetPr>
    <pageSetUpPr fitToPage="1"/>
  </sheetPr>
  <dimension ref="B2:H7"/>
  <sheetViews>
    <sheetView zoomScalePageLayoutView="0" workbookViewId="0" topLeftCell="A1">
      <selection activeCell="U94" sqref="U94"/>
    </sheetView>
  </sheetViews>
  <sheetFormatPr defaultColWidth="8.796875" defaultRowHeight="15"/>
  <sheetData>
    <row r="2" ht="15.75">
      <c r="H2" s="671">
        <f>inputPrYr!C5</f>
        <v>0</v>
      </c>
    </row>
    <row r="3" ht="15.75" thickBot="1"/>
    <row r="4" spans="2:8" ht="19.5" thickBot="1">
      <c r="B4" s="885" t="s">
        <v>907</v>
      </c>
      <c r="C4" s="886"/>
      <c r="D4" s="886"/>
      <c r="E4" s="886"/>
      <c r="F4" s="886"/>
      <c r="G4" s="886"/>
      <c r="H4" s="887"/>
    </row>
    <row r="5" spans="2:8" ht="16.5" thickBot="1">
      <c r="B5" s="668"/>
      <c r="C5" s="668"/>
      <c r="D5" s="669"/>
      <c r="E5" s="670"/>
      <c r="F5" s="668"/>
      <c r="G5" s="668"/>
      <c r="H5" s="668"/>
    </row>
    <row r="6" spans="2:8" ht="15.75">
      <c r="B6" s="888" t="str">
        <f>CONCATENATE("Notice of Vote - ",inputPrYr!C3)</f>
        <v>Notice of Vote - </v>
      </c>
      <c r="C6" s="889"/>
      <c r="D6" s="889"/>
      <c r="E6" s="889"/>
      <c r="F6" s="889"/>
      <c r="G6" s="889"/>
      <c r="H6" s="890"/>
    </row>
    <row r="7" spans="2:8" ht="60.75" customHeight="1" thickBot="1">
      <c r="B7" s="882" t="str">
        <f>CONCATENATE("In adopting the ",H2," budget the governing body voted to increase property taxes in an amount greater than the amount levied for the ",H2-1," budget, adjusted by the ",H2-2," CPI for all urban consumers.  _____ members voted in favor of the budget and _____ members voted against the budget.")</f>
        <v>In adopting the 0 budget the governing body voted to increase property taxes in an amount greater than the amount levied for the -1 budget, adjusted by the -2 CPI for all urban consumers.  _____ members voted in favor of the budget and _____ members voted against the budget.</v>
      </c>
      <c r="C7" s="883"/>
      <c r="D7" s="883"/>
      <c r="E7" s="883"/>
      <c r="F7" s="883"/>
      <c r="G7" s="883"/>
      <c r="H7" s="884"/>
    </row>
  </sheetData>
  <sheetProtection sheet="1"/>
  <mergeCells count="3">
    <mergeCell ref="B7:H7"/>
    <mergeCell ref="B4:H4"/>
    <mergeCell ref="B6:H6"/>
  </mergeCells>
  <printOptions/>
  <pageMargins left="0.7" right="0.7" top="0.75" bottom="0.75" header="0.3" footer="0.3"/>
  <pageSetup fitToHeight="1" fitToWidth="1" horizontalDpi="600" verticalDpi="600" orientation="portrait" scale="99" r:id="rId1"/>
</worksheet>
</file>

<file path=xl/worksheets/sheet4.xml><?xml version="1.0" encoding="utf-8"?>
<worksheet xmlns="http://schemas.openxmlformats.org/spreadsheetml/2006/main" xmlns:r="http://schemas.openxmlformats.org/officeDocument/2006/relationships">
  <dimension ref="A1:J23"/>
  <sheetViews>
    <sheetView zoomScalePageLayoutView="0" workbookViewId="0" topLeftCell="A1">
      <selection activeCell="S63" sqref="S63"/>
    </sheetView>
  </sheetViews>
  <sheetFormatPr defaultColWidth="8.796875" defaultRowHeight="15"/>
  <cols>
    <col min="1" max="1" width="13.796875" style="0" customWidth="1"/>
    <col min="2" max="2" width="16.09765625" style="0" customWidth="1"/>
  </cols>
  <sheetData>
    <row r="1" ht="15">
      <c r="J1" s="616" t="s">
        <v>824</v>
      </c>
    </row>
    <row r="2" spans="1:10" ht="54" customHeight="1">
      <c r="A2" s="821" t="s">
        <v>415</v>
      </c>
      <c r="B2" s="822"/>
      <c r="C2" s="822"/>
      <c r="D2" s="822"/>
      <c r="E2" s="822"/>
      <c r="F2" s="822"/>
      <c r="J2" s="616" t="s">
        <v>825</v>
      </c>
    </row>
    <row r="3" spans="1:10" ht="15.75">
      <c r="A3" s="1" t="s">
        <v>822</v>
      </c>
      <c r="B3" s="646"/>
      <c r="J3" s="616" t="s">
        <v>826</v>
      </c>
    </row>
    <row r="4" spans="1:10" ht="15.75">
      <c r="A4" s="358"/>
      <c r="B4" s="358"/>
      <c r="C4" s="358"/>
      <c r="D4" s="360"/>
      <c r="E4" s="358"/>
      <c r="F4" s="358"/>
      <c r="J4" s="616" t="s">
        <v>827</v>
      </c>
    </row>
    <row r="5" spans="1:10" ht="15.75">
      <c r="A5" s="359" t="s">
        <v>416</v>
      </c>
      <c r="B5" s="646"/>
      <c r="C5" s="361"/>
      <c r="D5" s="359" t="s">
        <v>823</v>
      </c>
      <c r="E5" s="358"/>
      <c r="F5" s="358"/>
      <c r="J5" s="616" t="s">
        <v>828</v>
      </c>
    </row>
    <row r="6" spans="1:10" ht="15.75">
      <c r="A6" s="359"/>
      <c r="B6" s="362"/>
      <c r="C6" s="363"/>
      <c r="D6" s="615">
        <f>IF(B5="","",CONCATENATE("Latest date for notice to be published in your newspaper: ",G18," ",G22,", ",G23))</f>
      </c>
      <c r="E6" s="358"/>
      <c r="F6" s="358"/>
      <c r="J6" s="616" t="s">
        <v>829</v>
      </c>
    </row>
    <row r="7" spans="1:10" ht="15.75">
      <c r="A7" s="359" t="s">
        <v>417</v>
      </c>
      <c r="B7" s="646"/>
      <c r="C7" s="364"/>
      <c r="D7" s="359"/>
      <c r="E7" s="358"/>
      <c r="F7" s="358"/>
      <c r="J7" s="616" t="s">
        <v>830</v>
      </c>
    </row>
    <row r="8" spans="1:10" ht="15.75">
      <c r="A8" s="359"/>
      <c r="B8" s="359"/>
      <c r="C8" s="359"/>
      <c r="D8" s="359"/>
      <c r="E8" s="358"/>
      <c r="F8" s="358"/>
      <c r="J8" s="616" t="s">
        <v>831</v>
      </c>
    </row>
    <row r="9" spans="1:10" ht="15.75">
      <c r="A9" s="359" t="s">
        <v>418</v>
      </c>
      <c r="B9" s="647"/>
      <c r="C9" s="648"/>
      <c r="D9" s="648"/>
      <c r="E9" s="649"/>
      <c r="F9" s="358"/>
      <c r="J9" s="616" t="s">
        <v>832</v>
      </c>
    </row>
    <row r="10" spans="1:10" ht="15.75">
      <c r="A10" s="359"/>
      <c r="B10" s="359"/>
      <c r="C10" s="359"/>
      <c r="D10" s="359"/>
      <c r="E10" s="358"/>
      <c r="F10" s="358"/>
      <c r="J10" s="616" t="s">
        <v>833</v>
      </c>
    </row>
    <row r="11" spans="1:10" ht="15.75">
      <c r="A11" s="359"/>
      <c r="B11" s="359"/>
      <c r="C11" s="359"/>
      <c r="D11" s="359"/>
      <c r="E11" s="358"/>
      <c r="F11" s="358"/>
      <c r="J11" s="616" t="s">
        <v>834</v>
      </c>
    </row>
    <row r="12" spans="1:10" ht="15.75">
      <c r="A12" s="359" t="s">
        <v>419</v>
      </c>
      <c r="B12" s="647"/>
      <c r="C12" s="648"/>
      <c r="D12" s="648"/>
      <c r="E12" s="649"/>
      <c r="F12" s="358"/>
      <c r="J12" s="616" t="s">
        <v>835</v>
      </c>
    </row>
    <row r="15" spans="1:6" ht="15.75">
      <c r="A15" s="823" t="s">
        <v>420</v>
      </c>
      <c r="B15" s="823"/>
      <c r="C15" s="359"/>
      <c r="D15" s="359"/>
      <c r="E15" s="359"/>
      <c r="F15" s="358"/>
    </row>
    <row r="16" spans="1:6" ht="15.75">
      <c r="A16" s="359"/>
      <c r="B16" s="359"/>
      <c r="C16" s="359"/>
      <c r="D16" s="359"/>
      <c r="E16" s="359"/>
      <c r="F16" s="358"/>
    </row>
    <row r="17" spans="1:5" ht="15.75">
      <c r="A17" s="359" t="s">
        <v>416</v>
      </c>
      <c r="B17" s="362" t="s">
        <v>421</v>
      </c>
      <c r="C17" s="359"/>
      <c r="D17" s="359"/>
      <c r="E17" s="359"/>
    </row>
    <row r="18" spans="1:7" ht="15.75">
      <c r="A18" s="359"/>
      <c r="B18" s="359"/>
      <c r="C18" s="359"/>
      <c r="D18" s="359"/>
      <c r="E18" s="359"/>
      <c r="G18" s="616">
        <f ca="1">IF(B5="","",INDIRECT(G19))</f>
      </c>
    </row>
    <row r="19" spans="1:7" ht="15.75">
      <c r="A19" s="359" t="s">
        <v>417</v>
      </c>
      <c r="B19" s="359" t="s">
        <v>422</v>
      </c>
      <c r="C19" s="359"/>
      <c r="D19" s="359"/>
      <c r="E19" s="359"/>
      <c r="G19" s="619">
        <f>IF(B5="","",CONCATENATE("J",G21))</f>
      </c>
    </row>
    <row r="20" spans="1:7" ht="15.75">
      <c r="A20" s="359"/>
      <c r="B20" s="359"/>
      <c r="C20" s="359"/>
      <c r="D20" s="359"/>
      <c r="E20" s="359"/>
      <c r="G20" s="621">
        <f>B5-10</f>
        <v>-10</v>
      </c>
    </row>
    <row r="21" spans="1:7" ht="15.75">
      <c r="A21" s="359" t="s">
        <v>418</v>
      </c>
      <c r="B21" s="359" t="s">
        <v>423</v>
      </c>
      <c r="C21" s="359"/>
      <c r="D21" s="359"/>
      <c r="E21" s="359"/>
      <c r="G21" s="620">
        <f>IF(B5="","",MONTH(G20))</f>
      </c>
    </row>
    <row r="22" spans="1:7" ht="15.75">
      <c r="A22" s="359"/>
      <c r="B22" s="359"/>
      <c r="C22" s="359"/>
      <c r="D22" s="359"/>
      <c r="E22" s="359"/>
      <c r="G22" s="617">
        <f>IF(B5="","",DAY(G20))</f>
      </c>
    </row>
    <row r="23" spans="1:7" ht="15.75">
      <c r="A23" s="359" t="s">
        <v>419</v>
      </c>
      <c r="B23" s="359" t="s">
        <v>423</v>
      </c>
      <c r="C23" s="359"/>
      <c r="D23" s="359"/>
      <c r="E23" s="359"/>
      <c r="G23" s="618">
        <f>IF(B5="","",YEAR(G20))</f>
      </c>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40.xml><?xml version="1.0" encoding="utf-8"?>
<worksheet xmlns="http://schemas.openxmlformats.org/spreadsheetml/2006/main" xmlns:r="http://schemas.openxmlformats.org/officeDocument/2006/relationships">
  <sheetPr>
    <pageSetUpPr fitToPage="1"/>
  </sheetPr>
  <dimension ref="B2:G12"/>
  <sheetViews>
    <sheetView zoomScalePageLayoutView="0" workbookViewId="0" topLeftCell="A1">
      <selection activeCell="U82" sqref="U82"/>
    </sheetView>
  </sheetViews>
  <sheetFormatPr defaultColWidth="8.796875" defaultRowHeight="15"/>
  <cols>
    <col min="4" max="4" width="12.19921875" style="0" customWidth="1"/>
    <col min="6" max="6" width="3.296875" style="0" customWidth="1"/>
  </cols>
  <sheetData>
    <row r="2" ht="15.75">
      <c r="G2" s="671">
        <f>inputPrYr!C5</f>
        <v>0</v>
      </c>
    </row>
    <row r="3" ht="15.75" thickBot="1"/>
    <row r="4" spans="2:7" ht="19.5" thickBot="1">
      <c r="B4" s="891" t="s">
        <v>908</v>
      </c>
      <c r="C4" s="892"/>
      <c r="D4" s="892"/>
      <c r="E4" s="892"/>
      <c r="F4" s="892"/>
      <c r="G4" s="893"/>
    </row>
    <row r="5" spans="2:7" ht="16.5" thickBot="1">
      <c r="B5" s="672"/>
      <c r="C5" s="672"/>
      <c r="D5" s="672"/>
      <c r="E5" s="672"/>
      <c r="F5" s="672"/>
      <c r="G5" s="672"/>
    </row>
    <row r="6" spans="2:7" ht="15.75">
      <c r="B6" s="888" t="str">
        <f>CONCATENATE("Notice of Vote - ",inputPrYr!C3)</f>
        <v>Notice of Vote - </v>
      </c>
      <c r="C6" s="889"/>
      <c r="D6" s="889"/>
      <c r="E6" s="889"/>
      <c r="F6" s="889"/>
      <c r="G6" s="890"/>
    </row>
    <row r="7" spans="2:7" ht="15.75">
      <c r="B7" s="894" t="s">
        <v>909</v>
      </c>
      <c r="C7" s="895"/>
      <c r="D7" s="895"/>
      <c r="E7" s="895"/>
      <c r="F7" s="895"/>
      <c r="G7" s="896"/>
    </row>
    <row r="8" spans="2:7" ht="15.75">
      <c r="B8" s="894" t="s">
        <v>910</v>
      </c>
      <c r="C8" s="895"/>
      <c r="D8" s="895"/>
      <c r="E8" s="895"/>
      <c r="F8" s="895"/>
      <c r="G8" s="896"/>
    </row>
    <row r="9" spans="2:7" ht="15.75">
      <c r="B9" s="675" t="str">
        <f>CONCATENATE(G2-1," Budget")</f>
        <v>-1 Budget</v>
      </c>
      <c r="C9" s="679" t="s">
        <v>170</v>
      </c>
      <c r="D9" s="681">
        <f>inputPrYr!E42</f>
        <v>0</v>
      </c>
      <c r="E9" s="673"/>
      <c r="F9" s="673"/>
      <c r="G9" s="674"/>
    </row>
    <row r="10" spans="2:7" ht="15.75">
      <c r="B10" s="675" t="str">
        <f>CONCATENATE(G2," Budget")</f>
        <v>0 Budget</v>
      </c>
      <c r="C10" s="679" t="s">
        <v>170</v>
      </c>
      <c r="D10" s="682">
        <f>cert!F57</f>
        <v>0</v>
      </c>
      <c r="E10" s="673"/>
      <c r="F10" s="673"/>
      <c r="G10" s="674"/>
    </row>
    <row r="11" spans="2:7" ht="15.75">
      <c r="B11" s="675"/>
      <c r="C11" s="673"/>
      <c r="D11" s="673" t="s">
        <v>911</v>
      </c>
      <c r="E11" s="683"/>
      <c r="F11" s="678" t="s">
        <v>912</v>
      </c>
      <c r="G11" s="684"/>
    </row>
    <row r="12" spans="2:7" ht="16.5" thickBot="1">
      <c r="B12" s="676"/>
      <c r="C12" s="677"/>
      <c r="D12" s="677"/>
      <c r="E12" s="677"/>
      <c r="F12" s="677"/>
      <c r="G12" s="680"/>
    </row>
  </sheetData>
  <sheetProtection sheet="1" objects="1" scenarios="1"/>
  <mergeCells count="4">
    <mergeCell ref="B4:G4"/>
    <mergeCell ref="B6:G6"/>
    <mergeCell ref="B7:G7"/>
    <mergeCell ref="B8:G8"/>
  </mergeCells>
  <printOptions/>
  <pageMargins left="0.7" right="0.7" top="0.75" bottom="0.75" header="0.3" footer="0.3"/>
  <pageSetup fitToHeight="1" fitToWidth="1" horizontalDpi="600" verticalDpi="600" orientation="portrait" r:id="rId1"/>
</worksheet>
</file>

<file path=xl/worksheets/sheet41.xml><?xml version="1.0" encoding="utf-8"?>
<worksheet xmlns="http://schemas.openxmlformats.org/spreadsheetml/2006/main" xmlns:r="http://schemas.openxmlformats.org/officeDocument/2006/relationships">
  <sheetPr>
    <pageSetUpPr fitToPage="1"/>
  </sheetPr>
  <dimension ref="B2:G14"/>
  <sheetViews>
    <sheetView zoomScalePageLayoutView="0" workbookViewId="0" topLeftCell="A1">
      <selection activeCell="U112" sqref="U112"/>
    </sheetView>
  </sheetViews>
  <sheetFormatPr defaultColWidth="8.796875" defaultRowHeight="15"/>
  <cols>
    <col min="4" max="4" width="12.19921875" style="0" customWidth="1"/>
    <col min="6" max="6" width="6.796875" style="0" customWidth="1"/>
  </cols>
  <sheetData>
    <row r="2" ht="15.75">
      <c r="G2" s="671">
        <f>inputPrYr!C5</f>
        <v>0</v>
      </c>
    </row>
    <row r="3" ht="15.75" thickBot="1"/>
    <row r="4" spans="2:7" ht="19.5" thickBot="1">
      <c r="B4" s="891" t="s">
        <v>908</v>
      </c>
      <c r="C4" s="892"/>
      <c r="D4" s="892"/>
      <c r="E4" s="892"/>
      <c r="F4" s="892"/>
      <c r="G4" s="893"/>
    </row>
    <row r="5" spans="2:7" ht="16.5" thickBot="1">
      <c r="B5" s="768"/>
      <c r="C5" s="768"/>
      <c r="D5" s="768"/>
      <c r="E5" s="768"/>
      <c r="F5" s="768"/>
      <c r="G5" s="768"/>
    </row>
    <row r="6" spans="2:7" ht="15.75">
      <c r="B6" s="888" t="str">
        <f>CONCATENATE("Notice of Vote - ",inputPrYr!C3)</f>
        <v>Notice of Vote - </v>
      </c>
      <c r="C6" s="889"/>
      <c r="D6" s="889"/>
      <c r="E6" s="889"/>
      <c r="F6" s="889"/>
      <c r="G6" s="890"/>
    </row>
    <row r="7" spans="2:7" ht="15.75">
      <c r="B7" s="894" t="s">
        <v>909</v>
      </c>
      <c r="C7" s="895"/>
      <c r="D7" s="895"/>
      <c r="E7" s="895"/>
      <c r="F7" s="895"/>
      <c r="G7" s="896"/>
    </row>
    <row r="8" spans="2:7" ht="15.75">
      <c r="B8" s="771"/>
      <c r="C8" s="777"/>
      <c r="D8" s="765" t="s">
        <v>910</v>
      </c>
      <c r="E8" s="777"/>
      <c r="F8" s="789" t="s">
        <v>966</v>
      </c>
      <c r="G8" s="784"/>
    </row>
    <row r="9" spans="2:7" ht="15.75">
      <c r="B9" s="774" t="str">
        <f>CONCATENATE(G2-1," Budget")</f>
        <v>-1 Budget</v>
      </c>
      <c r="C9" s="778" t="s">
        <v>170</v>
      </c>
      <c r="D9" s="780">
        <f>summ!D55</f>
        <v>0</v>
      </c>
      <c r="E9" s="772"/>
      <c r="F9" s="785">
        <f>summ!E52</f>
        <v>0</v>
      </c>
      <c r="G9" s="773"/>
    </row>
    <row r="10" spans="2:7" ht="15.75">
      <c r="B10" s="774" t="str">
        <f>CONCATENATE(G2," Budget")</f>
        <v>0 Budget</v>
      </c>
      <c r="C10" s="778" t="s">
        <v>170</v>
      </c>
      <c r="D10" s="781">
        <f>summ!G52</f>
        <v>0</v>
      </c>
      <c r="E10" s="772"/>
      <c r="F10" s="785">
        <f>summ!H52</f>
        <v>0</v>
      </c>
      <c r="G10" s="773"/>
    </row>
    <row r="11" spans="2:7" ht="15.75">
      <c r="B11" s="774"/>
      <c r="C11" s="778"/>
      <c r="D11" s="788"/>
      <c r="E11" s="772"/>
      <c r="F11" s="772"/>
      <c r="G11" s="773"/>
    </row>
    <row r="12" spans="2:7" ht="15.75">
      <c r="B12" s="774"/>
      <c r="C12" s="772"/>
      <c r="D12" s="772" t="s">
        <v>911</v>
      </c>
      <c r="E12" s="782"/>
      <c r="F12" s="777" t="s">
        <v>912</v>
      </c>
      <c r="G12" s="783"/>
    </row>
    <row r="13" spans="2:7" ht="15.75">
      <c r="B13" s="774"/>
      <c r="C13" s="772"/>
      <c r="D13" s="772"/>
      <c r="E13" s="786"/>
      <c r="F13" s="777"/>
      <c r="G13" s="787"/>
    </row>
    <row r="14" spans="2:7" ht="16.5" thickBot="1">
      <c r="B14" s="775" t="str">
        <f>CONCATENATE("* ",G2-1," mill levy is actual.  ",G2," mill levy is estimated.")</f>
        <v>* -1 mill levy is actual.  0 mill levy is estimated.</v>
      </c>
      <c r="C14" s="776"/>
      <c r="D14" s="776"/>
      <c r="E14" s="776"/>
      <c r="F14" s="776"/>
      <c r="G14" s="779"/>
    </row>
  </sheetData>
  <sheetProtection sheet="1" objects="1" scenarios="1"/>
  <mergeCells count="3">
    <mergeCell ref="B4:G4"/>
    <mergeCell ref="B6:G6"/>
    <mergeCell ref="B7:G7"/>
  </mergeCells>
  <printOptions/>
  <pageMargins left="0.7" right="0.7" top="0.75" bottom="0.75" header="0.3" footer="0.3"/>
  <pageSetup fitToHeight="1" fitToWidth="1" horizontalDpi="600" verticalDpi="600" orientation="portrait" r:id="rId1"/>
</worksheet>
</file>

<file path=xl/worksheets/sheet42.xml><?xml version="1.0" encoding="utf-8"?>
<worksheet xmlns="http://schemas.openxmlformats.org/spreadsheetml/2006/main" xmlns:r="http://schemas.openxmlformats.org/officeDocument/2006/relationships">
  <sheetPr>
    <pageSetUpPr fitToPage="1"/>
  </sheetPr>
  <dimension ref="B1:C36"/>
  <sheetViews>
    <sheetView zoomScalePageLayoutView="0" workbookViewId="0" topLeftCell="A11">
      <selection activeCell="B14" sqref="B14:B16"/>
    </sheetView>
  </sheetViews>
  <sheetFormatPr defaultColWidth="8.796875" defaultRowHeight="15"/>
  <cols>
    <col min="2" max="2" width="100.796875" style="0" customWidth="1"/>
  </cols>
  <sheetData>
    <row r="1" spans="2:3" ht="15">
      <c r="B1" s="770"/>
      <c r="C1" s="764">
        <f>inputPrYr!C3</f>
        <v>0</v>
      </c>
    </row>
    <row r="2" spans="2:3" ht="15">
      <c r="B2" s="770"/>
      <c r="C2" s="769"/>
    </row>
    <row r="3" spans="2:3" ht="15">
      <c r="B3" s="770"/>
      <c r="C3" s="764">
        <f>inputPrYr!C5</f>
        <v>0</v>
      </c>
    </row>
    <row r="4" ht="15">
      <c r="B4" s="770"/>
    </row>
    <row r="5" ht="49.5" customHeight="1">
      <c r="B5" s="794" t="s">
        <v>967</v>
      </c>
    </row>
    <row r="6" ht="49.5" customHeight="1">
      <c r="B6" s="791" t="str">
        <f>CONCATENATE("A resolution expressing the property taxation policy of the ",C1," Commission with respect to financing the annual budget for ",C3)</f>
        <v>A resolution expressing the property taxation policy of the 0 Commission with respect to financing the annual budget for 0</v>
      </c>
    </row>
    <row r="7" ht="99.75" customHeight="1">
      <c r="B7" s="790" t="str">
        <f>CONCATENATE("Whereas, K.S.A. 79-2925b, as amended, provides that a levy of property taxes to finance the ",C3," budget of ",C1," exceeding the amount levied to finance the ",C3-1," budget of ",C1,", as adjusted to reflect changes in the Consumer Price Index for All Urban Consumers for calendar year ",C3-2,", be authorized by a resolution adopted in advance of the adoption of a budget supported by such levy; and")</f>
        <v>Whereas, K.S.A. 79-2925b, as amended, provides that a levy of property taxes to finance the 0 budget of 0 exceeding the amount levied to finance the -1 budget of 0, as adjusted to reflect changes in the Consumer Price Index for All Urban Consumers for calendar year -2, be authorized by a resolution adopted in advance of the adoption of a budget supported by such levy; and</v>
      </c>
    </row>
    <row r="8" ht="99.75" customHeight="1">
      <c r="B8" s="790" t="s">
        <v>970</v>
      </c>
    </row>
    <row r="9" ht="49.5" customHeight="1">
      <c r="B9" s="790" t="str">
        <f>CONCATENATE("Whereas, ",C1," provides essential services to its citizens; and")</f>
        <v>Whereas, 0 provides essential services to its citizens; and</v>
      </c>
    </row>
    <row r="10" ht="49.5" customHeight="1">
      <c r="B10" s="790" t="s">
        <v>968</v>
      </c>
    </row>
    <row r="11" ht="49.5" customHeight="1">
      <c r="B11" s="790" t="str">
        <f>CONCATENATE("NOW, THEREFORE, BE IT RESOLVED by the ",C1," Commission that a levy of property taxes in support of the ",C3," budget exceeding the amount levied in ",C3-1,", as adjusted pursuant to K.S.A. 79-2925b, as amended, is hereby approved.")</f>
        <v>NOW, THEREFORE, BE IT RESOLVED by the 0 Commission that a levy of property taxes in support of the 0 budget exceeding the amount levied in -1, as adjusted pursuant to K.S.A. 79-2925b, as amended, is hereby approved.</v>
      </c>
    </row>
    <row r="12" ht="49.5" customHeight="1">
      <c r="B12" s="793" t="str">
        <f>CONCATENATE("Adopted this _____day of____________, ",C3-1," by the ",C1," Commission.")</f>
        <v>Adopted this _____day of____________, -1 by the 0 Commission.</v>
      </c>
    </row>
    <row r="13" ht="49.5" customHeight="1">
      <c r="B13" s="792" t="str">
        <f>CONCATENATE(C1," Commission")</f>
        <v>0 Commission</v>
      </c>
    </row>
    <row r="14" ht="49.5" customHeight="1">
      <c r="B14" s="795" t="s">
        <v>969</v>
      </c>
    </row>
    <row r="15" ht="49.5" customHeight="1">
      <c r="B15" s="795" t="s">
        <v>969</v>
      </c>
    </row>
    <row r="16" ht="49.5" customHeight="1">
      <c r="B16" s="795" t="s">
        <v>969</v>
      </c>
    </row>
    <row r="17" ht="15">
      <c r="B17" s="770"/>
    </row>
    <row r="18" ht="15">
      <c r="B18" s="770"/>
    </row>
    <row r="19" ht="15">
      <c r="B19" s="770"/>
    </row>
    <row r="20" ht="15">
      <c r="B20" s="770"/>
    </row>
    <row r="21" ht="15">
      <c r="B21" s="770"/>
    </row>
    <row r="22" ht="15">
      <c r="B22" s="770"/>
    </row>
    <row r="23" ht="15">
      <c r="B23" s="770"/>
    </row>
    <row r="24" ht="15">
      <c r="B24" s="770"/>
    </row>
    <row r="25" ht="15">
      <c r="B25" s="770"/>
    </row>
    <row r="26" ht="15">
      <c r="B26" s="770"/>
    </row>
    <row r="27" ht="15">
      <c r="B27" s="770"/>
    </row>
    <row r="28" ht="15">
      <c r="B28" s="770"/>
    </row>
    <row r="29" ht="15">
      <c r="B29" s="770"/>
    </row>
    <row r="30" ht="15">
      <c r="B30" s="770"/>
    </row>
    <row r="31" ht="15">
      <c r="B31" s="770"/>
    </row>
    <row r="32" ht="15">
      <c r="B32" s="770"/>
    </row>
    <row r="33" ht="15">
      <c r="B33" s="770"/>
    </row>
    <row r="34" ht="15">
      <c r="B34" s="770"/>
    </row>
    <row r="35" ht="15">
      <c r="B35" s="770"/>
    </row>
    <row r="36" ht="15">
      <c r="B36" s="770"/>
    </row>
  </sheetData>
  <sheetProtection/>
  <printOptions/>
  <pageMargins left="0.7" right="0.7" top="0.75" bottom="0.75" header="0.3" footer="0.3"/>
  <pageSetup fitToHeight="1" fitToWidth="1" horizontalDpi="600" verticalDpi="600" orientation="portrait" scale="70" r:id="rId1"/>
</worksheet>
</file>

<file path=xl/worksheets/sheet4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N135" sqref="N135"/>
    </sheetView>
  </sheetViews>
  <sheetFormatPr defaultColWidth="8.796875" defaultRowHeight="15"/>
  <cols>
    <col min="1" max="1" width="71.296875" style="0" customWidth="1"/>
  </cols>
  <sheetData>
    <row r="3" spans="1:12" ht="15">
      <c r="A3" s="367" t="s">
        <v>427</v>
      </c>
      <c r="B3" s="367"/>
      <c r="C3" s="367"/>
      <c r="D3" s="367"/>
      <c r="E3" s="367"/>
      <c r="F3" s="367"/>
      <c r="G3" s="367"/>
      <c r="H3" s="367"/>
      <c r="I3" s="367"/>
      <c r="J3" s="367"/>
      <c r="K3" s="367"/>
      <c r="L3" s="367"/>
    </row>
    <row r="5" ht="15">
      <c r="A5" s="366" t="s">
        <v>428</v>
      </c>
    </row>
    <row r="6" ht="15">
      <c r="A6" s="366" t="str">
        <f>CONCATENATE(inputPrYr!C5-2," 'total expenditures' exceed your ",inputPrYr!C5-2," 'budget authority.'")</f>
        <v>-2 'total expenditures' exceed your -2 'budget authority.'</v>
      </c>
    </row>
    <row r="7" ht="15">
      <c r="A7" s="366"/>
    </row>
    <row r="8" ht="15">
      <c r="A8" s="366" t="s">
        <v>429</v>
      </c>
    </row>
    <row r="9" ht="15">
      <c r="A9" s="366" t="s">
        <v>430</v>
      </c>
    </row>
    <row r="10" ht="15">
      <c r="A10" s="366" t="s">
        <v>431</v>
      </c>
    </row>
    <row r="11" ht="15">
      <c r="A11" s="366"/>
    </row>
    <row r="12" ht="15">
      <c r="A12" s="366"/>
    </row>
    <row r="13" ht="15">
      <c r="A13" s="365" t="s">
        <v>432</v>
      </c>
    </row>
    <row r="15" ht="15">
      <c r="A15" s="366" t="s">
        <v>433</v>
      </c>
    </row>
    <row r="16" ht="15">
      <c r="A16" s="366" t="str">
        <f>CONCATENATE("(i.e. an audit has not been completed, or the ",inputPrYr!C5," adopted")</f>
        <v>(i.e. an audit has not been completed, or the  adopted</v>
      </c>
    </row>
    <row r="17" ht="15">
      <c r="A17" s="366" t="s">
        <v>434</v>
      </c>
    </row>
    <row r="18" ht="15">
      <c r="A18" s="366" t="s">
        <v>435</v>
      </c>
    </row>
    <row r="19" ht="15">
      <c r="A19" s="366" t="s">
        <v>436</v>
      </c>
    </row>
    <row r="21" ht="15">
      <c r="A21" s="365" t="s">
        <v>437</v>
      </c>
    </row>
    <row r="22" ht="15">
      <c r="A22" s="365"/>
    </row>
    <row r="23" ht="15">
      <c r="A23" s="366" t="s">
        <v>438</v>
      </c>
    </row>
    <row r="24" ht="15">
      <c r="A24" s="366" t="s">
        <v>439</v>
      </c>
    </row>
    <row r="25" ht="15">
      <c r="A25" s="366" t="str">
        <f>CONCATENATE("particular fund.  If your ",inputPrYr!C5-2," budget was amended, did you")</f>
        <v>particular fund.  If your -2 budget was amended, did you</v>
      </c>
    </row>
    <row r="26" ht="15">
      <c r="A26" s="366" t="s">
        <v>440</v>
      </c>
    </row>
    <row r="27" ht="15">
      <c r="A27" s="366"/>
    </row>
    <row r="28" ht="15">
      <c r="A28" s="366" t="str">
        <f>CONCATENATE("Next, look to see if any of your ",inputPrYr!C5-2," expenditures can be")</f>
        <v>Next, look to see if any of your -2 expenditures can be</v>
      </c>
    </row>
    <row r="29" ht="15">
      <c r="A29" s="366" t="s">
        <v>441</v>
      </c>
    </row>
    <row r="30" ht="15">
      <c r="A30" s="366" t="s">
        <v>442</v>
      </c>
    </row>
    <row r="31" ht="15">
      <c r="A31" s="366" t="s">
        <v>443</v>
      </c>
    </row>
    <row r="32" ht="15">
      <c r="A32" s="366"/>
    </row>
    <row r="33" ht="15">
      <c r="A33" s="366" t="str">
        <f>CONCATENATE("Additionally, do your ",inputPrYr!C5-2," receipts contain a reimbursement")</f>
        <v>Additionally, do your -2 receipts contain a reimbursement</v>
      </c>
    </row>
    <row r="34" ht="15">
      <c r="A34" s="366" t="s">
        <v>444</v>
      </c>
    </row>
    <row r="35" ht="15">
      <c r="A35" s="366" t="s">
        <v>445</v>
      </c>
    </row>
    <row r="36" ht="15">
      <c r="A36" s="366"/>
    </row>
    <row r="37" ht="15">
      <c r="A37" s="366" t="s">
        <v>446</v>
      </c>
    </row>
    <row r="38" ht="15">
      <c r="A38" s="366" t="s">
        <v>627</v>
      </c>
    </row>
    <row r="39" ht="15">
      <c r="A39" s="366" t="s">
        <v>628</v>
      </c>
    </row>
    <row r="40" ht="15">
      <c r="A40" s="366" t="s">
        <v>629</v>
      </c>
    </row>
    <row r="41" ht="15">
      <c r="A41" s="366" t="s">
        <v>631</v>
      </c>
    </row>
    <row r="42" ht="15">
      <c r="A42" s="366" t="s">
        <v>630</v>
      </c>
    </row>
    <row r="43" ht="15">
      <c r="A43" s="366" t="s">
        <v>447</v>
      </c>
    </row>
    <row r="44" ht="15">
      <c r="A44" s="366" t="s">
        <v>448</v>
      </c>
    </row>
    <row r="45" ht="15">
      <c r="A45" s="366"/>
    </row>
    <row r="46" ht="15">
      <c r="A46" s="366" t="s">
        <v>449</v>
      </c>
    </row>
    <row r="47" ht="15">
      <c r="A47" s="366" t="s">
        <v>450</v>
      </c>
    </row>
    <row r="48" ht="15">
      <c r="A48" s="366" t="s">
        <v>451</v>
      </c>
    </row>
    <row r="49" ht="15">
      <c r="A49" s="366"/>
    </row>
    <row r="50" ht="15">
      <c r="A50" s="366" t="s">
        <v>452</v>
      </c>
    </row>
    <row r="51" ht="15">
      <c r="A51" s="366" t="s">
        <v>453</v>
      </c>
    </row>
    <row r="52" ht="15">
      <c r="A52" s="366" t="s">
        <v>454</v>
      </c>
    </row>
    <row r="53" ht="15">
      <c r="A53" s="366"/>
    </row>
    <row r="54" ht="15">
      <c r="A54" s="365" t="s">
        <v>455</v>
      </c>
    </row>
    <row r="55" ht="15">
      <c r="A55" s="366"/>
    </row>
    <row r="56" ht="15">
      <c r="A56" s="366" t="s">
        <v>456</v>
      </c>
    </row>
    <row r="57" ht="15">
      <c r="A57" s="366" t="s">
        <v>457</v>
      </c>
    </row>
    <row r="58" ht="15">
      <c r="A58" s="366" t="s">
        <v>458</v>
      </c>
    </row>
    <row r="59" ht="15">
      <c r="A59" s="366" t="s">
        <v>459</v>
      </c>
    </row>
    <row r="60" ht="15">
      <c r="A60" s="366" t="s">
        <v>460</v>
      </c>
    </row>
    <row r="61" ht="15">
      <c r="A61" s="366" t="s">
        <v>461</v>
      </c>
    </row>
    <row r="62" ht="15">
      <c r="A62" s="366" t="s">
        <v>462</v>
      </c>
    </row>
    <row r="63" ht="15">
      <c r="A63" s="366" t="s">
        <v>463</v>
      </c>
    </row>
    <row r="64" ht="15">
      <c r="A64" s="366" t="s">
        <v>464</v>
      </c>
    </row>
    <row r="65" ht="15">
      <c r="A65" s="366" t="s">
        <v>465</v>
      </c>
    </row>
    <row r="66" ht="15">
      <c r="A66" s="366" t="s">
        <v>466</v>
      </c>
    </row>
    <row r="67" ht="15">
      <c r="A67" s="366" t="s">
        <v>467</v>
      </c>
    </row>
    <row r="68" ht="15">
      <c r="A68" s="366" t="s">
        <v>468</v>
      </c>
    </row>
    <row r="69" ht="15">
      <c r="A69" s="366"/>
    </row>
    <row r="70" ht="15">
      <c r="A70" s="366" t="s">
        <v>469</v>
      </c>
    </row>
    <row r="71" ht="15">
      <c r="A71" s="366" t="s">
        <v>470</v>
      </c>
    </row>
    <row r="72" ht="15">
      <c r="A72" s="366" t="s">
        <v>471</v>
      </c>
    </row>
    <row r="73" ht="15">
      <c r="A73" s="366"/>
    </row>
    <row r="74" ht="15">
      <c r="A74" s="365" t="str">
        <f>CONCATENATE("What if the ",inputPrYr!C5-2," financial records have been closed?")</f>
        <v>What if the -2 financial records have been closed?</v>
      </c>
    </row>
    <row r="76" ht="15">
      <c r="A76" s="366" t="s">
        <v>472</v>
      </c>
    </row>
    <row r="77" ht="15">
      <c r="A77" s="366" t="str">
        <f>CONCATENATE("(i.e. an audit for ",inputPrYr!C5-2," has been completed, or the ",inputPrYr!C5)</f>
        <v>(i.e. an audit for -2 has been completed, or the </v>
      </c>
    </row>
    <row r="78" ht="15">
      <c r="A78" s="366" t="s">
        <v>473</v>
      </c>
    </row>
    <row r="79" ht="15">
      <c r="A79" s="366" t="s">
        <v>474</v>
      </c>
    </row>
    <row r="80" ht="15">
      <c r="A80" s="366"/>
    </row>
    <row r="81" ht="15">
      <c r="A81" s="366" t="s">
        <v>475</v>
      </c>
    </row>
    <row r="82" ht="15">
      <c r="A82" s="366" t="s">
        <v>476</v>
      </c>
    </row>
    <row r="83" ht="15">
      <c r="A83" s="366" t="s">
        <v>477</v>
      </c>
    </row>
    <row r="84" ht="15">
      <c r="A84" s="366"/>
    </row>
    <row r="85" ht="15">
      <c r="A85" s="366" t="s">
        <v>478</v>
      </c>
    </row>
  </sheetData>
  <sheetProtection sheet="1"/>
  <printOptions/>
  <pageMargins left="0.7" right="0.7" top="0.75" bottom="0.75" header="0.3" footer="0.3"/>
  <pageSetup horizontalDpi="600" verticalDpi="600" orientation="portrait" r:id="rId1"/>
</worksheet>
</file>

<file path=xl/worksheets/sheet4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N112" sqref="N112"/>
    </sheetView>
  </sheetViews>
  <sheetFormatPr defaultColWidth="8.796875" defaultRowHeight="15"/>
  <cols>
    <col min="1" max="1" width="71.296875" style="0" customWidth="1"/>
  </cols>
  <sheetData>
    <row r="3" spans="1:10" ht="15">
      <c r="A3" s="367" t="s">
        <v>479</v>
      </c>
      <c r="B3" s="367"/>
      <c r="C3" s="367"/>
      <c r="D3" s="367"/>
      <c r="E3" s="367"/>
      <c r="F3" s="367"/>
      <c r="G3" s="367"/>
      <c r="H3" s="368"/>
      <c r="I3" s="368"/>
      <c r="J3" s="368"/>
    </row>
    <row r="5" ht="15">
      <c r="A5" s="366" t="s">
        <v>480</v>
      </c>
    </row>
    <row r="6" ht="15">
      <c r="A6" t="str">
        <f>CONCATENATE(inputPrYr!C5-2," expenditures show that you finished the year with a ")</f>
        <v>-2 expenditures show that you finished the year with a </v>
      </c>
    </row>
    <row r="7" ht="15">
      <c r="A7" t="s">
        <v>481</v>
      </c>
    </row>
    <row r="9" ht="15">
      <c r="A9" t="s">
        <v>482</v>
      </c>
    </row>
    <row r="10" ht="15">
      <c r="A10" t="s">
        <v>483</v>
      </c>
    </row>
    <row r="11" ht="15">
      <c r="A11" t="s">
        <v>484</v>
      </c>
    </row>
    <row r="13" ht="15">
      <c r="A13" s="365" t="s">
        <v>485</v>
      </c>
    </row>
    <row r="14" ht="15">
      <c r="A14" s="365"/>
    </row>
    <row r="15" ht="15">
      <c r="A15" s="366" t="s">
        <v>486</v>
      </c>
    </row>
    <row r="16" ht="15">
      <c r="A16" s="366" t="s">
        <v>487</v>
      </c>
    </row>
    <row r="17" ht="15">
      <c r="A17" s="366" t="s">
        <v>488</v>
      </c>
    </row>
    <row r="18" ht="15">
      <c r="A18" s="366"/>
    </row>
    <row r="19" ht="15">
      <c r="A19" s="365" t="s">
        <v>489</v>
      </c>
    </row>
    <row r="20" ht="15">
      <c r="A20" s="365"/>
    </row>
    <row r="21" ht="15">
      <c r="A21" s="366" t="s">
        <v>490</v>
      </c>
    </row>
    <row r="22" ht="15">
      <c r="A22" s="366" t="s">
        <v>491</v>
      </c>
    </row>
    <row r="23" ht="15">
      <c r="A23" s="366" t="s">
        <v>492</v>
      </c>
    </row>
    <row r="24" ht="15">
      <c r="A24" s="366"/>
    </row>
    <row r="25" ht="15">
      <c r="A25" s="365" t="s">
        <v>493</v>
      </c>
    </row>
    <row r="26" ht="15">
      <c r="A26" s="365"/>
    </row>
    <row r="27" ht="15">
      <c r="A27" s="366" t="s">
        <v>494</v>
      </c>
    </row>
    <row r="28" ht="15">
      <c r="A28" s="366" t="s">
        <v>495</v>
      </c>
    </row>
    <row r="29" ht="15">
      <c r="A29" s="366" t="s">
        <v>496</v>
      </c>
    </row>
    <row r="30" ht="15">
      <c r="A30" s="366"/>
    </row>
    <row r="31" ht="15">
      <c r="A31" s="365" t="s">
        <v>497</v>
      </c>
    </row>
    <row r="32" ht="15">
      <c r="A32" s="365"/>
    </row>
    <row r="33" spans="1:8" ht="15">
      <c r="A33" s="366" t="str">
        <f>CONCATENATE("If your financial records for ",inputPrYr!C5-2," are not closed")</f>
        <v>If your financial records for -2 are not closed</v>
      </c>
      <c r="B33" s="366"/>
      <c r="C33" s="366"/>
      <c r="D33" s="366"/>
      <c r="E33" s="366"/>
      <c r="F33" s="366"/>
      <c r="G33" s="366"/>
      <c r="H33" s="366"/>
    </row>
    <row r="34" spans="1:8" ht="15">
      <c r="A34" s="366" t="str">
        <f>CONCATENATE("(i.e. an audit has not been completed, or the ",inputPrYr!C5," adopted ")</f>
        <v>(i.e. an audit has not been completed, or the  adopted </v>
      </c>
      <c r="B34" s="366"/>
      <c r="C34" s="366"/>
      <c r="D34" s="366"/>
      <c r="E34" s="366"/>
      <c r="F34" s="366"/>
      <c r="G34" s="366"/>
      <c r="H34" s="366"/>
    </row>
    <row r="35" spans="1:8" ht="15">
      <c r="A35" s="366" t="s">
        <v>498</v>
      </c>
      <c r="B35" s="366"/>
      <c r="C35" s="366"/>
      <c r="D35" s="366"/>
      <c r="E35" s="366"/>
      <c r="F35" s="366"/>
      <c r="G35" s="366"/>
      <c r="H35" s="366"/>
    </row>
    <row r="36" spans="1:8" ht="15">
      <c r="A36" s="366" t="s">
        <v>499</v>
      </c>
      <c r="B36" s="366"/>
      <c r="C36" s="366"/>
      <c r="D36" s="366"/>
      <c r="E36" s="366"/>
      <c r="F36" s="366"/>
      <c r="G36" s="366"/>
      <c r="H36" s="366"/>
    </row>
    <row r="37" spans="1:8" ht="15">
      <c r="A37" s="366" t="s">
        <v>500</v>
      </c>
      <c r="B37" s="366"/>
      <c r="C37" s="366"/>
      <c r="D37" s="366"/>
      <c r="E37" s="366"/>
      <c r="F37" s="366"/>
      <c r="G37" s="366"/>
      <c r="H37" s="366"/>
    </row>
    <row r="38" spans="1:8" ht="15">
      <c r="A38" s="366" t="s">
        <v>501</v>
      </c>
      <c r="B38" s="366"/>
      <c r="C38" s="366"/>
      <c r="D38" s="366"/>
      <c r="E38" s="366"/>
      <c r="F38" s="366"/>
      <c r="G38" s="366"/>
      <c r="H38" s="366"/>
    </row>
    <row r="39" spans="1:8" ht="15">
      <c r="A39" s="366" t="s">
        <v>502</v>
      </c>
      <c r="B39" s="366"/>
      <c r="C39" s="366"/>
      <c r="D39" s="366"/>
      <c r="E39" s="366"/>
      <c r="F39" s="366"/>
      <c r="G39" s="366"/>
      <c r="H39" s="366"/>
    </row>
    <row r="40" spans="1:8" ht="15">
      <c r="A40" s="366"/>
      <c r="B40" s="366"/>
      <c r="C40" s="366"/>
      <c r="D40" s="366"/>
      <c r="E40" s="366"/>
      <c r="F40" s="366"/>
      <c r="G40" s="366"/>
      <c r="H40" s="366"/>
    </row>
    <row r="41" spans="1:8" ht="15">
      <c r="A41" s="366" t="s">
        <v>503</v>
      </c>
      <c r="B41" s="366"/>
      <c r="C41" s="366"/>
      <c r="D41" s="366"/>
      <c r="E41" s="366"/>
      <c r="F41" s="366"/>
      <c r="G41" s="366"/>
      <c r="H41" s="366"/>
    </row>
    <row r="42" spans="1:8" ht="15">
      <c r="A42" s="366" t="s">
        <v>504</v>
      </c>
      <c r="B42" s="366"/>
      <c r="C42" s="366"/>
      <c r="D42" s="366"/>
      <c r="E42" s="366"/>
      <c r="F42" s="366"/>
      <c r="G42" s="366"/>
      <c r="H42" s="366"/>
    </row>
    <row r="43" spans="1:8" ht="15">
      <c r="A43" s="366" t="s">
        <v>505</v>
      </c>
      <c r="B43" s="366"/>
      <c r="C43" s="366"/>
      <c r="D43" s="366"/>
      <c r="E43" s="366"/>
      <c r="F43" s="366"/>
      <c r="G43" s="366"/>
      <c r="H43" s="366"/>
    </row>
    <row r="44" spans="1:8" ht="15">
      <c r="A44" s="366" t="s">
        <v>506</v>
      </c>
      <c r="B44" s="366"/>
      <c r="C44" s="366"/>
      <c r="D44" s="366"/>
      <c r="E44" s="366"/>
      <c r="F44" s="366"/>
      <c r="G44" s="366"/>
      <c r="H44" s="366"/>
    </row>
    <row r="45" spans="1:8" ht="15">
      <c r="A45" s="366"/>
      <c r="B45" s="366"/>
      <c r="C45" s="366"/>
      <c r="D45" s="366"/>
      <c r="E45" s="366"/>
      <c r="F45" s="366"/>
      <c r="G45" s="366"/>
      <c r="H45" s="366"/>
    </row>
    <row r="46" spans="1:8" ht="15">
      <c r="A46" s="366" t="s">
        <v>507</v>
      </c>
      <c r="B46" s="366"/>
      <c r="C46" s="366"/>
      <c r="D46" s="366"/>
      <c r="E46" s="366"/>
      <c r="F46" s="366"/>
      <c r="G46" s="366"/>
      <c r="H46" s="366"/>
    </row>
    <row r="47" spans="1:8" ht="15">
      <c r="A47" s="366" t="s">
        <v>508</v>
      </c>
      <c r="B47" s="366"/>
      <c r="C47" s="366"/>
      <c r="D47" s="366"/>
      <c r="E47" s="366"/>
      <c r="F47" s="366"/>
      <c r="G47" s="366"/>
      <c r="H47" s="366"/>
    </row>
    <row r="48" spans="1:8" ht="15">
      <c r="A48" s="366" t="s">
        <v>509</v>
      </c>
      <c r="B48" s="366"/>
      <c r="C48" s="366"/>
      <c r="D48" s="366"/>
      <c r="E48" s="366"/>
      <c r="F48" s="366"/>
      <c r="G48" s="366"/>
      <c r="H48" s="366"/>
    </row>
    <row r="49" spans="1:8" ht="15">
      <c r="A49" s="366" t="s">
        <v>510</v>
      </c>
      <c r="B49" s="366"/>
      <c r="C49" s="366"/>
      <c r="D49" s="366"/>
      <c r="E49" s="366"/>
      <c r="F49" s="366"/>
      <c r="G49" s="366"/>
      <c r="H49" s="366"/>
    </row>
    <row r="50" spans="1:8" ht="15">
      <c r="A50" s="366" t="s">
        <v>511</v>
      </c>
      <c r="B50" s="366"/>
      <c r="C50" s="366"/>
      <c r="D50" s="366"/>
      <c r="E50" s="366"/>
      <c r="F50" s="366"/>
      <c r="G50" s="366"/>
      <c r="H50" s="366"/>
    </row>
    <row r="51" spans="1:8" ht="15">
      <c r="A51" s="366"/>
      <c r="B51" s="366"/>
      <c r="C51" s="366"/>
      <c r="D51" s="366"/>
      <c r="E51" s="366"/>
      <c r="F51" s="366"/>
      <c r="G51" s="366"/>
      <c r="H51" s="366"/>
    </row>
    <row r="52" spans="1:8" ht="15">
      <c r="A52" s="365" t="s">
        <v>512</v>
      </c>
      <c r="B52" s="365"/>
      <c r="C52" s="365"/>
      <c r="D52" s="365"/>
      <c r="E52" s="365"/>
      <c r="F52" s="365"/>
      <c r="G52" s="365"/>
      <c r="H52" s="366"/>
    </row>
    <row r="53" spans="1:8" ht="15">
      <c r="A53" s="365" t="s">
        <v>513</v>
      </c>
      <c r="B53" s="365"/>
      <c r="C53" s="365"/>
      <c r="D53" s="365"/>
      <c r="E53" s="365"/>
      <c r="F53" s="365"/>
      <c r="G53" s="365"/>
      <c r="H53" s="366"/>
    </row>
    <row r="54" spans="1:8" ht="15">
      <c r="A54" s="366"/>
      <c r="B54" s="366"/>
      <c r="C54" s="366"/>
      <c r="D54" s="366"/>
      <c r="E54" s="366"/>
      <c r="F54" s="366"/>
      <c r="G54" s="366"/>
      <c r="H54" s="366"/>
    </row>
    <row r="55" spans="1:8" ht="15">
      <c r="A55" s="366" t="s">
        <v>514</v>
      </c>
      <c r="B55" s="366"/>
      <c r="C55" s="366"/>
      <c r="D55" s="366"/>
      <c r="E55" s="366"/>
      <c r="F55" s="366"/>
      <c r="G55" s="366"/>
      <c r="H55" s="366"/>
    </row>
    <row r="56" spans="1:8" ht="15">
      <c r="A56" s="366" t="s">
        <v>515</v>
      </c>
      <c r="B56" s="366"/>
      <c r="C56" s="366"/>
      <c r="D56" s="366"/>
      <c r="E56" s="366"/>
      <c r="F56" s="366"/>
      <c r="G56" s="366"/>
      <c r="H56" s="366"/>
    </row>
    <row r="57" spans="1:8" ht="15">
      <c r="A57" s="366" t="s">
        <v>516</v>
      </c>
      <c r="B57" s="366"/>
      <c r="C57" s="366"/>
      <c r="D57" s="366"/>
      <c r="E57" s="366"/>
      <c r="F57" s="366"/>
      <c r="G57" s="366"/>
      <c r="H57" s="366"/>
    </row>
    <row r="58" spans="1:8" ht="15">
      <c r="A58" s="366" t="s">
        <v>517</v>
      </c>
      <c r="B58" s="366"/>
      <c r="C58" s="366"/>
      <c r="D58" s="366"/>
      <c r="E58" s="366"/>
      <c r="F58" s="366"/>
      <c r="G58" s="366"/>
      <c r="H58" s="366"/>
    </row>
    <row r="59" spans="1:8" ht="15">
      <c r="A59" s="366"/>
      <c r="B59" s="366"/>
      <c r="C59" s="366"/>
      <c r="D59" s="366"/>
      <c r="E59" s="366"/>
      <c r="F59" s="366"/>
      <c r="G59" s="366"/>
      <c r="H59" s="366"/>
    </row>
    <row r="60" spans="1:8" ht="15">
      <c r="A60" s="366" t="s">
        <v>518</v>
      </c>
      <c r="B60" s="366"/>
      <c r="C60" s="366"/>
      <c r="D60" s="366"/>
      <c r="E60" s="366"/>
      <c r="F60" s="366"/>
      <c r="G60" s="366"/>
      <c r="H60" s="366"/>
    </row>
    <row r="61" spans="1:8" ht="15">
      <c r="A61" s="366" t="s">
        <v>519</v>
      </c>
      <c r="B61" s="366"/>
      <c r="C61" s="366"/>
      <c r="D61" s="366"/>
      <c r="E61" s="366"/>
      <c r="F61" s="366"/>
      <c r="G61" s="366"/>
      <c r="H61" s="366"/>
    </row>
    <row r="62" spans="1:8" ht="15">
      <c r="A62" s="366" t="s">
        <v>520</v>
      </c>
      <c r="B62" s="366"/>
      <c r="C62" s="366"/>
      <c r="D62" s="366"/>
      <c r="E62" s="366"/>
      <c r="F62" s="366"/>
      <c r="G62" s="366"/>
      <c r="H62" s="366"/>
    </row>
    <row r="63" spans="1:8" ht="15">
      <c r="A63" s="366" t="s">
        <v>521</v>
      </c>
      <c r="B63" s="366"/>
      <c r="C63" s="366"/>
      <c r="D63" s="366"/>
      <c r="E63" s="366"/>
      <c r="F63" s="366"/>
      <c r="G63" s="366"/>
      <c r="H63" s="366"/>
    </row>
    <row r="64" spans="1:8" ht="15">
      <c r="A64" s="366" t="s">
        <v>522</v>
      </c>
      <c r="B64" s="366"/>
      <c r="C64" s="366"/>
      <c r="D64" s="366"/>
      <c r="E64" s="366"/>
      <c r="F64" s="366"/>
      <c r="G64" s="366"/>
      <c r="H64" s="366"/>
    </row>
    <row r="65" spans="1:8" ht="15">
      <c r="A65" s="366" t="s">
        <v>523</v>
      </c>
      <c r="B65" s="366"/>
      <c r="C65" s="366"/>
      <c r="D65" s="366"/>
      <c r="E65" s="366"/>
      <c r="F65" s="366"/>
      <c r="G65" s="366"/>
      <c r="H65" s="366"/>
    </row>
    <row r="66" spans="1:8" ht="15">
      <c r="A66" s="366"/>
      <c r="B66" s="366"/>
      <c r="C66" s="366"/>
      <c r="D66" s="366"/>
      <c r="E66" s="366"/>
      <c r="F66" s="366"/>
      <c r="G66" s="366"/>
      <c r="H66" s="366"/>
    </row>
    <row r="67" spans="1:8" ht="15">
      <c r="A67" s="366" t="s">
        <v>524</v>
      </c>
      <c r="B67" s="366"/>
      <c r="C67" s="366"/>
      <c r="D67" s="366"/>
      <c r="E67" s="366"/>
      <c r="F67" s="366"/>
      <c r="G67" s="366"/>
      <c r="H67" s="366"/>
    </row>
    <row r="68" spans="1:8" ht="15">
      <c r="A68" s="366" t="s">
        <v>525</v>
      </c>
      <c r="B68" s="366"/>
      <c r="C68" s="366"/>
      <c r="D68" s="366"/>
      <c r="E68" s="366"/>
      <c r="F68" s="366"/>
      <c r="G68" s="366"/>
      <c r="H68" s="366"/>
    </row>
    <row r="69" spans="1:8" ht="15">
      <c r="A69" s="366" t="s">
        <v>526</v>
      </c>
      <c r="B69" s="366"/>
      <c r="C69" s="366"/>
      <c r="D69" s="366"/>
      <c r="E69" s="366"/>
      <c r="F69" s="366"/>
      <c r="G69" s="366"/>
      <c r="H69" s="366"/>
    </row>
    <row r="70" spans="1:8" ht="15">
      <c r="A70" s="366" t="s">
        <v>527</v>
      </c>
      <c r="B70" s="366"/>
      <c r="C70" s="366"/>
      <c r="D70" s="366"/>
      <c r="E70" s="366"/>
      <c r="F70" s="366"/>
      <c r="G70" s="366"/>
      <c r="H70" s="366"/>
    </row>
    <row r="71" spans="1:8" ht="15">
      <c r="A71" s="366" t="s">
        <v>528</v>
      </c>
      <c r="B71" s="366"/>
      <c r="C71" s="366"/>
      <c r="D71" s="366"/>
      <c r="E71" s="366"/>
      <c r="F71" s="366"/>
      <c r="G71" s="366"/>
      <c r="H71" s="366"/>
    </row>
    <row r="72" spans="1:8" ht="15">
      <c r="A72" s="366" t="s">
        <v>529</v>
      </c>
      <c r="B72" s="366"/>
      <c r="C72" s="366"/>
      <c r="D72" s="366"/>
      <c r="E72" s="366"/>
      <c r="F72" s="366"/>
      <c r="G72" s="366"/>
      <c r="H72" s="366"/>
    </row>
    <row r="73" spans="1:8" ht="15">
      <c r="A73" s="366" t="s">
        <v>530</v>
      </c>
      <c r="B73" s="366"/>
      <c r="C73" s="366"/>
      <c r="D73" s="366"/>
      <c r="E73" s="366"/>
      <c r="F73" s="366"/>
      <c r="G73" s="366"/>
      <c r="H73" s="366"/>
    </row>
    <row r="74" spans="1:8" ht="15">
      <c r="A74" s="366"/>
      <c r="B74" s="366"/>
      <c r="C74" s="366"/>
      <c r="D74" s="366"/>
      <c r="E74" s="366"/>
      <c r="F74" s="366"/>
      <c r="G74" s="366"/>
      <c r="H74" s="366"/>
    </row>
    <row r="75" spans="1:8" ht="15">
      <c r="A75" s="366" t="s">
        <v>531</v>
      </c>
      <c r="B75" s="366"/>
      <c r="C75" s="366"/>
      <c r="D75" s="366"/>
      <c r="E75" s="366"/>
      <c r="F75" s="366"/>
      <c r="G75" s="366"/>
      <c r="H75" s="366"/>
    </row>
    <row r="76" spans="1:8" ht="15">
      <c r="A76" s="366" t="s">
        <v>532</v>
      </c>
      <c r="B76" s="366"/>
      <c r="C76" s="366"/>
      <c r="D76" s="366"/>
      <c r="E76" s="366"/>
      <c r="F76" s="366"/>
      <c r="G76" s="366"/>
      <c r="H76" s="366"/>
    </row>
    <row r="77" spans="1:8" ht="15">
      <c r="A77" s="366" t="s">
        <v>533</v>
      </c>
      <c r="B77" s="366"/>
      <c r="C77" s="366"/>
      <c r="D77" s="366"/>
      <c r="E77" s="366"/>
      <c r="F77" s="366"/>
      <c r="G77" s="366"/>
      <c r="H77" s="366"/>
    </row>
    <row r="78" spans="1:8" ht="15">
      <c r="A78" s="366"/>
      <c r="B78" s="366"/>
      <c r="C78" s="366"/>
      <c r="D78" s="366"/>
      <c r="E78" s="366"/>
      <c r="F78" s="366"/>
      <c r="G78" s="366"/>
      <c r="H78" s="366"/>
    </row>
    <row r="79" ht="15">
      <c r="A79" s="366" t="s">
        <v>478</v>
      </c>
    </row>
    <row r="80" ht="15">
      <c r="A80" s="365"/>
    </row>
    <row r="81" ht="15">
      <c r="A81" s="366"/>
    </row>
    <row r="82" ht="15">
      <c r="A82" s="366"/>
    </row>
    <row r="83" ht="15">
      <c r="A83" s="366"/>
    </row>
    <row r="84" ht="15">
      <c r="A84" s="366"/>
    </row>
    <row r="85" ht="15">
      <c r="A85" s="366"/>
    </row>
    <row r="86" ht="15">
      <c r="A86" s="366"/>
    </row>
    <row r="87" ht="15">
      <c r="A87" s="366"/>
    </row>
    <row r="88" ht="15">
      <c r="A88" s="366"/>
    </row>
    <row r="89" ht="15">
      <c r="A89" s="366"/>
    </row>
    <row r="90" ht="15">
      <c r="A90" s="366"/>
    </row>
    <row r="91" ht="15">
      <c r="A91" s="366"/>
    </row>
    <row r="92" ht="15">
      <c r="A92" s="366"/>
    </row>
    <row r="93" ht="15">
      <c r="A93" s="366"/>
    </row>
    <row r="94" ht="15">
      <c r="A94" s="366"/>
    </row>
    <row r="95" ht="15">
      <c r="A95" s="366"/>
    </row>
    <row r="96" ht="15">
      <c r="A96" s="366"/>
    </row>
    <row r="97" ht="15">
      <c r="A97" s="366"/>
    </row>
    <row r="98" ht="15">
      <c r="A98" s="366"/>
    </row>
    <row r="99" ht="15">
      <c r="A99" s="366"/>
    </row>
    <row r="100" ht="15">
      <c r="A100" s="366"/>
    </row>
    <row r="101" ht="15">
      <c r="A101" s="366"/>
    </row>
    <row r="103" ht="15">
      <c r="A103" s="366"/>
    </row>
    <row r="104" ht="15">
      <c r="A104" s="366"/>
    </row>
    <row r="105" ht="15">
      <c r="A105" s="366"/>
    </row>
    <row r="107" ht="15">
      <c r="A107" s="365"/>
    </row>
    <row r="108" ht="15">
      <c r="A108" s="365"/>
    </row>
    <row r="109" ht="15">
      <c r="A109" s="365"/>
    </row>
  </sheetData>
  <sheetProtection sheet="1"/>
  <printOptions/>
  <pageMargins left="0.7" right="0.7" top="0.75" bottom="0.75" header="0.3" footer="0.3"/>
  <pageSetup horizontalDpi="600" verticalDpi="600" orientation="portrait" r:id="rId1"/>
</worksheet>
</file>

<file path=xl/worksheets/sheet4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N109" sqref="N109"/>
    </sheetView>
  </sheetViews>
  <sheetFormatPr defaultColWidth="8.796875" defaultRowHeight="15"/>
  <cols>
    <col min="1" max="1" width="71.296875" style="0" customWidth="1"/>
  </cols>
  <sheetData>
    <row r="3" spans="1:12" ht="15">
      <c r="A3" s="367" t="s">
        <v>534</v>
      </c>
      <c r="B3" s="367"/>
      <c r="C3" s="367"/>
      <c r="D3" s="367"/>
      <c r="E3" s="367"/>
      <c r="F3" s="367"/>
      <c r="G3" s="367"/>
      <c r="H3" s="367"/>
      <c r="I3" s="367"/>
      <c r="J3" s="367"/>
      <c r="K3" s="367"/>
      <c r="L3" s="367"/>
    </row>
    <row r="4" spans="1:12" ht="15">
      <c r="A4" s="367"/>
      <c r="B4" s="367"/>
      <c r="C4" s="367"/>
      <c r="D4" s="367"/>
      <c r="E4" s="367"/>
      <c r="F4" s="367"/>
      <c r="G4" s="367"/>
      <c r="H4" s="367"/>
      <c r="I4" s="367"/>
      <c r="J4" s="367"/>
      <c r="K4" s="367"/>
      <c r="L4" s="367"/>
    </row>
    <row r="5" spans="1:12" ht="15">
      <c r="A5" s="366" t="s">
        <v>428</v>
      </c>
      <c r="I5" s="367"/>
      <c r="J5" s="367"/>
      <c r="K5" s="367"/>
      <c r="L5" s="367"/>
    </row>
    <row r="6" spans="1:12" ht="15">
      <c r="A6" s="366" t="str">
        <f>CONCATENATE("estimated ",inputPrYr!C5-1," 'total expenditures' exceed your ",inputPrYr!C5-1,"")</f>
        <v>estimated -1 'total expenditures' exceed your -1</v>
      </c>
      <c r="I6" s="367"/>
      <c r="J6" s="367"/>
      <c r="K6" s="367"/>
      <c r="L6" s="367"/>
    </row>
    <row r="7" spans="1:12" ht="15">
      <c r="A7" s="369" t="s">
        <v>535</v>
      </c>
      <c r="I7" s="367"/>
      <c r="J7" s="367"/>
      <c r="K7" s="367"/>
      <c r="L7" s="367"/>
    </row>
    <row r="8" spans="1:12" ht="15">
      <c r="A8" s="366"/>
      <c r="I8" s="367"/>
      <c r="J8" s="367"/>
      <c r="K8" s="367"/>
      <c r="L8" s="367"/>
    </row>
    <row r="9" spans="1:12" ht="15">
      <c r="A9" s="366" t="s">
        <v>536</v>
      </c>
      <c r="I9" s="367"/>
      <c r="J9" s="367"/>
      <c r="K9" s="367"/>
      <c r="L9" s="367"/>
    </row>
    <row r="10" spans="1:12" ht="15">
      <c r="A10" s="366" t="s">
        <v>537</v>
      </c>
      <c r="I10" s="367"/>
      <c r="J10" s="367"/>
      <c r="K10" s="367"/>
      <c r="L10" s="367"/>
    </row>
    <row r="11" spans="1:12" ht="15">
      <c r="A11" s="366" t="s">
        <v>538</v>
      </c>
      <c r="I11" s="367"/>
      <c r="J11" s="367"/>
      <c r="K11" s="367"/>
      <c r="L11" s="367"/>
    </row>
    <row r="12" spans="1:12" ht="15">
      <c r="A12" s="366" t="s">
        <v>539</v>
      </c>
      <c r="I12" s="367"/>
      <c r="J12" s="367"/>
      <c r="K12" s="367"/>
      <c r="L12" s="367"/>
    </row>
    <row r="13" spans="1:12" ht="15">
      <c r="A13" s="366" t="s">
        <v>540</v>
      </c>
      <c r="I13" s="367"/>
      <c r="J13" s="367"/>
      <c r="K13" s="367"/>
      <c r="L13" s="367"/>
    </row>
    <row r="14" spans="1:12" ht="15">
      <c r="A14" s="367"/>
      <c r="B14" s="367"/>
      <c r="C14" s="367"/>
      <c r="D14" s="367"/>
      <c r="E14" s="367"/>
      <c r="F14" s="367"/>
      <c r="G14" s="367"/>
      <c r="H14" s="367"/>
      <c r="I14" s="367"/>
      <c r="J14" s="367"/>
      <c r="K14" s="367"/>
      <c r="L14" s="367"/>
    </row>
    <row r="15" ht="15">
      <c r="A15" s="365" t="s">
        <v>541</v>
      </c>
    </row>
    <row r="16" ht="15">
      <c r="A16" s="365" t="s">
        <v>542</v>
      </c>
    </row>
    <row r="17" ht="15">
      <c r="A17" s="365"/>
    </row>
    <row r="18" spans="1:7" ht="15">
      <c r="A18" s="366" t="s">
        <v>543</v>
      </c>
      <c r="B18" s="366"/>
      <c r="C18" s="366"/>
      <c r="D18" s="366"/>
      <c r="E18" s="366"/>
      <c r="F18" s="366"/>
      <c r="G18" s="366"/>
    </row>
    <row r="19" spans="1:7" ht="15">
      <c r="A19" s="366" t="str">
        <f>CONCATENATE("your ",inputPrYr!C5-1," numbers to see what steps might be necessary to")</f>
        <v>your -1 numbers to see what steps might be necessary to</v>
      </c>
      <c r="B19" s="366"/>
      <c r="C19" s="366"/>
      <c r="D19" s="366"/>
      <c r="E19" s="366"/>
      <c r="F19" s="366"/>
      <c r="G19" s="366"/>
    </row>
    <row r="20" spans="1:7" ht="15">
      <c r="A20" s="366" t="s">
        <v>544</v>
      </c>
      <c r="B20" s="366"/>
      <c r="C20" s="366"/>
      <c r="D20" s="366"/>
      <c r="E20" s="366"/>
      <c r="F20" s="366"/>
      <c r="G20" s="366"/>
    </row>
    <row r="21" spans="1:7" ht="15">
      <c r="A21" s="366" t="s">
        <v>545</v>
      </c>
      <c r="B21" s="366"/>
      <c r="C21" s="366"/>
      <c r="D21" s="366"/>
      <c r="E21" s="366"/>
      <c r="F21" s="366"/>
      <c r="G21" s="366"/>
    </row>
    <row r="22" ht="15">
      <c r="A22" s="366"/>
    </row>
    <row r="23" ht="15">
      <c r="A23" s="365" t="s">
        <v>546</v>
      </c>
    </row>
    <row r="24" ht="15">
      <c r="A24" s="365"/>
    </row>
    <row r="25" ht="15">
      <c r="A25" s="366" t="s">
        <v>547</v>
      </c>
    </row>
    <row r="26" spans="1:6" ht="15">
      <c r="A26" s="366" t="s">
        <v>548</v>
      </c>
      <c r="B26" s="366"/>
      <c r="C26" s="366"/>
      <c r="D26" s="366"/>
      <c r="E26" s="366"/>
      <c r="F26" s="366"/>
    </row>
    <row r="27" spans="1:6" ht="15">
      <c r="A27" s="366" t="s">
        <v>549</v>
      </c>
      <c r="B27" s="366"/>
      <c r="C27" s="366"/>
      <c r="D27" s="366"/>
      <c r="E27" s="366"/>
      <c r="F27" s="366"/>
    </row>
    <row r="28" spans="1:6" ht="15">
      <c r="A28" s="366" t="s">
        <v>550</v>
      </c>
      <c r="B28" s="366"/>
      <c r="C28" s="366"/>
      <c r="D28" s="366"/>
      <c r="E28" s="366"/>
      <c r="F28" s="366"/>
    </row>
    <row r="29" spans="1:6" ht="15">
      <c r="A29" s="366"/>
      <c r="B29" s="366"/>
      <c r="C29" s="366"/>
      <c r="D29" s="366"/>
      <c r="E29" s="366"/>
      <c r="F29" s="366"/>
    </row>
    <row r="30" spans="1:7" ht="15">
      <c r="A30" s="365" t="s">
        <v>551</v>
      </c>
      <c r="B30" s="365"/>
      <c r="C30" s="365"/>
      <c r="D30" s="365"/>
      <c r="E30" s="365"/>
      <c r="F30" s="365"/>
      <c r="G30" s="365"/>
    </row>
    <row r="31" spans="1:7" ht="15">
      <c r="A31" s="365" t="s">
        <v>552</v>
      </c>
      <c r="B31" s="365"/>
      <c r="C31" s="365"/>
      <c r="D31" s="365"/>
      <c r="E31" s="365"/>
      <c r="F31" s="365"/>
      <c r="G31" s="365"/>
    </row>
    <row r="32" spans="1:6" ht="15">
      <c r="A32" s="366"/>
      <c r="B32" s="366"/>
      <c r="C32" s="366"/>
      <c r="D32" s="366"/>
      <c r="E32" s="366"/>
      <c r="F32" s="366"/>
    </row>
    <row r="33" spans="1:6" ht="15">
      <c r="A33" s="373" t="str">
        <f>CONCATENATE("Well, let's look to see if any of your ",inputPrYr!C5-1," expenditures can")</f>
        <v>Well, let's look to see if any of your -1 expenditures can</v>
      </c>
      <c r="B33" s="366"/>
      <c r="C33" s="366"/>
      <c r="D33" s="366"/>
      <c r="E33" s="366"/>
      <c r="F33" s="366"/>
    </row>
    <row r="34" spans="1:6" ht="15">
      <c r="A34" s="373" t="s">
        <v>553</v>
      </c>
      <c r="B34" s="366"/>
      <c r="C34" s="366"/>
      <c r="D34" s="366"/>
      <c r="E34" s="366"/>
      <c r="F34" s="366"/>
    </row>
    <row r="35" spans="1:6" ht="15">
      <c r="A35" s="373" t="s">
        <v>442</v>
      </c>
      <c r="B35" s="366"/>
      <c r="C35" s="366"/>
      <c r="D35" s="366"/>
      <c r="E35" s="366"/>
      <c r="F35" s="366"/>
    </row>
    <row r="36" spans="1:6" ht="15">
      <c r="A36" s="373" t="s">
        <v>443</v>
      </c>
      <c r="B36" s="366"/>
      <c r="C36" s="366"/>
      <c r="D36" s="366"/>
      <c r="E36" s="366"/>
      <c r="F36" s="366"/>
    </row>
    <row r="37" spans="1:6" ht="15">
      <c r="A37" s="373"/>
      <c r="B37" s="366"/>
      <c r="C37" s="366"/>
      <c r="D37" s="366"/>
      <c r="E37" s="366"/>
      <c r="F37" s="366"/>
    </row>
    <row r="38" spans="1:6" ht="15">
      <c r="A38" s="373" t="str">
        <f>CONCATENATE("Additionally, do your ",inputPrYr!C5-1," receipts contain a reimbursement")</f>
        <v>Additionally, do your -1 receipts contain a reimbursement</v>
      </c>
      <c r="B38" s="366"/>
      <c r="C38" s="366"/>
      <c r="D38" s="366"/>
      <c r="E38" s="366"/>
      <c r="F38" s="366"/>
    </row>
    <row r="39" spans="1:6" ht="15">
      <c r="A39" s="373" t="s">
        <v>444</v>
      </c>
      <c r="B39" s="366"/>
      <c r="C39" s="366"/>
      <c r="D39" s="366"/>
      <c r="E39" s="366"/>
      <c r="F39" s="366"/>
    </row>
    <row r="40" spans="1:6" ht="15">
      <c r="A40" s="373" t="s">
        <v>445</v>
      </c>
      <c r="B40" s="366"/>
      <c r="C40" s="366"/>
      <c r="D40" s="366"/>
      <c r="E40" s="366"/>
      <c r="F40" s="366"/>
    </row>
    <row r="41" spans="1:6" ht="15">
      <c r="A41" s="373"/>
      <c r="B41" s="366"/>
      <c r="C41" s="366"/>
      <c r="D41" s="366"/>
      <c r="E41" s="366"/>
      <c r="F41" s="366"/>
    </row>
    <row r="42" spans="1:6" ht="15">
      <c r="A42" s="373" t="s">
        <v>446</v>
      </c>
      <c r="B42" s="366"/>
      <c r="C42" s="366"/>
      <c r="D42" s="366"/>
      <c r="E42" s="366"/>
      <c r="F42" s="366"/>
    </row>
    <row r="43" spans="1:6" ht="15">
      <c r="A43" s="373" t="s">
        <v>627</v>
      </c>
      <c r="B43" s="366"/>
      <c r="C43" s="366"/>
      <c r="D43" s="366"/>
      <c r="E43" s="366"/>
      <c r="F43" s="366"/>
    </row>
    <row r="44" spans="1:6" ht="15">
      <c r="A44" s="373" t="s">
        <v>628</v>
      </c>
      <c r="B44" s="366"/>
      <c r="C44" s="366"/>
      <c r="D44" s="366"/>
      <c r="E44" s="366"/>
      <c r="F44" s="366"/>
    </row>
    <row r="45" spans="1:6" ht="15">
      <c r="A45" s="373" t="s">
        <v>633</v>
      </c>
      <c r="B45" s="366"/>
      <c r="C45" s="366"/>
      <c r="D45" s="366"/>
      <c r="E45" s="366"/>
      <c r="F45" s="366"/>
    </row>
    <row r="46" spans="1:6" ht="15">
      <c r="A46" s="373" t="s">
        <v>631</v>
      </c>
      <c r="B46" s="366"/>
      <c r="C46" s="366"/>
      <c r="D46" s="366"/>
      <c r="E46" s="366"/>
      <c r="F46" s="366"/>
    </row>
    <row r="47" spans="1:6" ht="15">
      <c r="A47" s="373" t="s">
        <v>632</v>
      </c>
      <c r="B47" s="366"/>
      <c r="C47" s="366"/>
      <c r="D47" s="366"/>
      <c r="E47" s="366"/>
      <c r="F47" s="366"/>
    </row>
    <row r="48" spans="1:6" ht="15">
      <c r="A48" s="373" t="s">
        <v>554</v>
      </c>
      <c r="B48" s="366"/>
      <c r="C48" s="366"/>
      <c r="D48" s="366"/>
      <c r="E48" s="366"/>
      <c r="F48" s="366"/>
    </row>
    <row r="49" spans="1:6" ht="15">
      <c r="A49" s="373" t="s">
        <v>448</v>
      </c>
      <c r="B49" s="366"/>
      <c r="C49" s="366"/>
      <c r="D49" s="366"/>
      <c r="E49" s="366"/>
      <c r="F49" s="366"/>
    </row>
    <row r="50" spans="1:6" ht="15">
      <c r="A50" s="373"/>
      <c r="B50" s="366"/>
      <c r="C50" s="366"/>
      <c r="D50" s="366"/>
      <c r="E50" s="366"/>
      <c r="F50" s="366"/>
    </row>
    <row r="51" spans="1:6" ht="15">
      <c r="A51" s="373" t="s">
        <v>449</v>
      </c>
      <c r="B51" s="366"/>
      <c r="C51" s="366"/>
      <c r="D51" s="366"/>
      <c r="E51" s="366"/>
      <c r="F51" s="366"/>
    </row>
    <row r="52" spans="1:6" ht="15">
      <c r="A52" s="373" t="s">
        <v>450</v>
      </c>
      <c r="B52" s="366"/>
      <c r="C52" s="366"/>
      <c r="D52" s="366"/>
      <c r="E52" s="366"/>
      <c r="F52" s="366"/>
    </row>
    <row r="53" spans="1:6" ht="15">
      <c r="A53" s="373" t="s">
        <v>451</v>
      </c>
      <c r="B53" s="366"/>
      <c r="C53" s="366"/>
      <c r="D53" s="366"/>
      <c r="E53" s="366"/>
      <c r="F53" s="366"/>
    </row>
    <row r="54" spans="1:6" ht="15">
      <c r="A54" s="373"/>
      <c r="B54" s="366"/>
      <c r="C54" s="366"/>
      <c r="D54" s="366"/>
      <c r="E54" s="366"/>
      <c r="F54" s="366"/>
    </row>
    <row r="55" spans="1:6" ht="15">
      <c r="A55" s="373" t="s">
        <v>555</v>
      </c>
      <c r="B55" s="366"/>
      <c r="C55" s="366"/>
      <c r="D55" s="366"/>
      <c r="E55" s="366"/>
      <c r="F55" s="366"/>
    </row>
    <row r="56" spans="1:6" ht="15">
      <c r="A56" s="373" t="s">
        <v>556</v>
      </c>
      <c r="B56" s="366"/>
      <c r="C56" s="366"/>
      <c r="D56" s="366"/>
      <c r="E56" s="366"/>
      <c r="F56" s="366"/>
    </row>
    <row r="57" spans="1:6" ht="15">
      <c r="A57" s="373" t="s">
        <v>557</v>
      </c>
      <c r="B57" s="366"/>
      <c r="C57" s="366"/>
      <c r="D57" s="366"/>
      <c r="E57" s="366"/>
      <c r="F57" s="366"/>
    </row>
    <row r="58" spans="1:6" ht="15">
      <c r="A58" s="373" t="s">
        <v>558</v>
      </c>
      <c r="B58" s="366"/>
      <c r="C58" s="366"/>
      <c r="D58" s="366"/>
      <c r="E58" s="366"/>
      <c r="F58" s="366"/>
    </row>
    <row r="59" spans="1:6" ht="15">
      <c r="A59" s="373" t="s">
        <v>559</v>
      </c>
      <c r="B59" s="366"/>
      <c r="C59" s="366"/>
      <c r="D59" s="366"/>
      <c r="E59" s="366"/>
      <c r="F59" s="366"/>
    </row>
    <row r="60" spans="1:6" ht="15">
      <c r="A60" s="373"/>
      <c r="B60" s="366"/>
      <c r="C60" s="366"/>
      <c r="D60" s="366"/>
      <c r="E60" s="366"/>
      <c r="F60" s="366"/>
    </row>
    <row r="61" spans="1:6" ht="15">
      <c r="A61" s="374" t="s">
        <v>560</v>
      </c>
      <c r="B61" s="366"/>
      <c r="C61" s="366"/>
      <c r="D61" s="366"/>
      <c r="E61" s="366"/>
      <c r="F61" s="366"/>
    </row>
    <row r="62" spans="1:6" ht="15">
      <c r="A62" s="374" t="s">
        <v>561</v>
      </c>
      <c r="B62" s="366"/>
      <c r="C62" s="366"/>
      <c r="D62" s="366"/>
      <c r="E62" s="366"/>
      <c r="F62" s="366"/>
    </row>
    <row r="63" spans="1:6" ht="15">
      <c r="A63" s="374" t="s">
        <v>562</v>
      </c>
      <c r="B63" s="366"/>
      <c r="C63" s="366"/>
      <c r="D63" s="366"/>
      <c r="E63" s="366"/>
      <c r="F63" s="366"/>
    </row>
    <row r="64" ht="15">
      <c r="A64" s="374" t="s">
        <v>563</v>
      </c>
    </row>
    <row r="65" ht="15">
      <c r="A65" s="374" t="s">
        <v>564</v>
      </c>
    </row>
    <row r="66" ht="15">
      <c r="A66" s="374" t="s">
        <v>565</v>
      </c>
    </row>
    <row r="68" ht="15">
      <c r="A68" s="366" t="s">
        <v>566</v>
      </c>
    </row>
    <row r="69" ht="15">
      <c r="A69" s="366" t="s">
        <v>567</v>
      </c>
    </row>
    <row r="70" ht="15">
      <c r="A70" s="366" t="s">
        <v>568</v>
      </c>
    </row>
    <row r="71" ht="15">
      <c r="A71" s="366" t="s">
        <v>569</v>
      </c>
    </row>
    <row r="72" ht="15">
      <c r="A72" s="366" t="s">
        <v>570</v>
      </c>
    </row>
    <row r="73" ht="15">
      <c r="A73" s="366" t="s">
        <v>571</v>
      </c>
    </row>
    <row r="75" ht="15">
      <c r="A75" s="366" t="s">
        <v>478</v>
      </c>
    </row>
  </sheetData>
  <sheetProtection sheet="1"/>
  <printOptions/>
  <pageMargins left="0.7" right="0.7" top="0.75" bottom="0.75" header="0.3" footer="0.3"/>
  <pageSetup horizontalDpi="600" verticalDpi="600" orientation="portrait" r:id="rId1"/>
</worksheet>
</file>

<file path=xl/worksheets/sheet4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N115" sqref="N115"/>
    </sheetView>
  </sheetViews>
  <sheetFormatPr defaultColWidth="8.796875" defaultRowHeight="15"/>
  <cols>
    <col min="1" max="1" width="71.296875" style="0" customWidth="1"/>
  </cols>
  <sheetData>
    <row r="3" spans="1:7" ht="15">
      <c r="A3" s="367" t="s">
        <v>572</v>
      </c>
      <c r="B3" s="367"/>
      <c r="C3" s="367"/>
      <c r="D3" s="367"/>
      <c r="E3" s="367"/>
      <c r="F3" s="367"/>
      <c r="G3" s="367"/>
    </row>
    <row r="4" spans="1:7" ht="15">
      <c r="A4" s="367"/>
      <c r="B4" s="367"/>
      <c r="C4" s="367"/>
      <c r="D4" s="367"/>
      <c r="E4" s="367"/>
      <c r="F4" s="367"/>
      <c r="G4" s="367"/>
    </row>
    <row r="5" ht="15">
      <c r="A5" s="366" t="s">
        <v>480</v>
      </c>
    </row>
    <row r="6" ht="15">
      <c r="A6" s="366" t="str">
        <f>CONCATENATE(inputPrYr!C5," estimated expenditures show that at the end of this year")</f>
        <v> estimated expenditures show that at the end of this year</v>
      </c>
    </row>
    <row r="7" ht="15">
      <c r="A7" s="366" t="s">
        <v>573</v>
      </c>
    </row>
    <row r="8" ht="15">
      <c r="A8" s="366" t="s">
        <v>574</v>
      </c>
    </row>
    <row r="10" ht="15">
      <c r="A10" t="s">
        <v>482</v>
      </c>
    </row>
    <row r="11" ht="15">
      <c r="A11" t="s">
        <v>483</v>
      </c>
    </row>
    <row r="12" ht="15">
      <c r="A12" t="s">
        <v>484</v>
      </c>
    </row>
    <row r="13" spans="1:7" ht="15">
      <c r="A13" s="367"/>
      <c r="B13" s="367"/>
      <c r="C13" s="367"/>
      <c r="D13" s="367"/>
      <c r="E13" s="367"/>
      <c r="F13" s="367"/>
      <c r="G13" s="367"/>
    </row>
    <row r="14" ht="15">
      <c r="A14" s="365" t="s">
        <v>575</v>
      </c>
    </row>
    <row r="15" ht="15">
      <c r="A15" s="366"/>
    </row>
    <row r="16" ht="15">
      <c r="A16" s="366" t="s">
        <v>576</v>
      </c>
    </row>
    <row r="17" ht="15">
      <c r="A17" s="366" t="s">
        <v>577</v>
      </c>
    </row>
    <row r="18" ht="15">
      <c r="A18" s="366" t="s">
        <v>578</v>
      </c>
    </row>
    <row r="19" ht="15">
      <c r="A19" s="366"/>
    </row>
    <row r="20" ht="15">
      <c r="A20" s="366" t="s">
        <v>579</v>
      </c>
    </row>
    <row r="21" ht="15">
      <c r="A21" s="366" t="s">
        <v>580</v>
      </c>
    </row>
    <row r="22" ht="15">
      <c r="A22" s="366" t="s">
        <v>581</v>
      </c>
    </row>
    <row r="23" ht="15">
      <c r="A23" s="366" t="s">
        <v>582</v>
      </c>
    </row>
    <row r="24" ht="15">
      <c r="A24" s="366"/>
    </row>
    <row r="25" ht="15">
      <c r="A25" s="365" t="s">
        <v>546</v>
      </c>
    </row>
    <row r="26" ht="15">
      <c r="A26" s="365"/>
    </row>
    <row r="27" ht="15">
      <c r="A27" s="366" t="s">
        <v>547</v>
      </c>
    </row>
    <row r="28" spans="1:6" ht="15">
      <c r="A28" s="366" t="s">
        <v>548</v>
      </c>
      <c r="B28" s="366"/>
      <c r="C28" s="366"/>
      <c r="D28" s="366"/>
      <c r="E28" s="366"/>
      <c r="F28" s="366"/>
    </row>
    <row r="29" spans="1:6" ht="15">
      <c r="A29" s="366" t="s">
        <v>549</v>
      </c>
      <c r="B29" s="366"/>
      <c r="C29" s="366"/>
      <c r="D29" s="366"/>
      <c r="E29" s="366"/>
      <c r="F29" s="366"/>
    </row>
    <row r="30" spans="1:6" ht="15">
      <c r="A30" s="366" t="s">
        <v>550</v>
      </c>
      <c r="B30" s="366"/>
      <c r="C30" s="366"/>
      <c r="D30" s="366"/>
      <c r="E30" s="366"/>
      <c r="F30" s="366"/>
    </row>
    <row r="31" ht="15">
      <c r="A31" s="366"/>
    </row>
    <row r="32" spans="1:7" ht="15">
      <c r="A32" s="365" t="s">
        <v>551</v>
      </c>
      <c r="B32" s="365"/>
      <c r="C32" s="365"/>
      <c r="D32" s="365"/>
      <c r="E32" s="365"/>
      <c r="F32" s="365"/>
      <c r="G32" s="365"/>
    </row>
    <row r="33" spans="1:7" ht="15">
      <c r="A33" s="365" t="s">
        <v>552</v>
      </c>
      <c r="B33" s="365"/>
      <c r="C33" s="365"/>
      <c r="D33" s="365"/>
      <c r="E33" s="365"/>
      <c r="F33" s="365"/>
      <c r="G33" s="365"/>
    </row>
    <row r="34" spans="1:7" ht="15">
      <c r="A34" s="365"/>
      <c r="B34" s="365"/>
      <c r="C34" s="365"/>
      <c r="D34" s="365"/>
      <c r="E34" s="365"/>
      <c r="F34" s="365"/>
      <c r="G34" s="365"/>
    </row>
    <row r="35" spans="1:7" ht="15">
      <c r="A35" s="366" t="s">
        <v>583</v>
      </c>
      <c r="B35" s="366"/>
      <c r="C35" s="366"/>
      <c r="D35" s="366"/>
      <c r="E35" s="366"/>
      <c r="F35" s="366"/>
      <c r="G35" s="366"/>
    </row>
    <row r="36" spans="1:7" ht="15">
      <c r="A36" s="366" t="s">
        <v>584</v>
      </c>
      <c r="B36" s="366"/>
      <c r="C36" s="366"/>
      <c r="D36" s="366"/>
      <c r="E36" s="366"/>
      <c r="F36" s="366"/>
      <c r="G36" s="366"/>
    </row>
    <row r="37" spans="1:7" ht="15">
      <c r="A37" s="366" t="s">
        <v>585</v>
      </c>
      <c r="B37" s="366"/>
      <c r="C37" s="366"/>
      <c r="D37" s="366"/>
      <c r="E37" s="366"/>
      <c r="F37" s="366"/>
      <c r="G37" s="366"/>
    </row>
    <row r="38" spans="1:7" ht="15">
      <c r="A38" s="366" t="s">
        <v>586</v>
      </c>
      <c r="B38" s="366"/>
      <c r="C38" s="366"/>
      <c r="D38" s="366"/>
      <c r="E38" s="366"/>
      <c r="F38" s="366"/>
      <c r="G38" s="366"/>
    </row>
    <row r="39" spans="1:7" ht="15">
      <c r="A39" s="366" t="s">
        <v>587</v>
      </c>
      <c r="B39" s="366"/>
      <c r="C39" s="366"/>
      <c r="D39" s="366"/>
      <c r="E39" s="366"/>
      <c r="F39" s="366"/>
      <c r="G39" s="366"/>
    </row>
    <row r="40" spans="1:7" ht="15">
      <c r="A40" s="365"/>
      <c r="B40" s="365"/>
      <c r="C40" s="365"/>
      <c r="D40" s="365"/>
      <c r="E40" s="365"/>
      <c r="F40" s="365"/>
      <c r="G40" s="365"/>
    </row>
    <row r="41" spans="1:6" ht="15">
      <c r="A41" s="373" t="str">
        <f>CONCATENATE("So, let's look to see if any of your ",inputPrYr!C5-1," expenditures can")</f>
        <v>So, let's look to see if any of your -1 expenditures can</v>
      </c>
      <c r="B41" s="366"/>
      <c r="C41" s="366"/>
      <c r="D41" s="366"/>
      <c r="E41" s="366"/>
      <c r="F41" s="366"/>
    </row>
    <row r="42" spans="1:6" ht="15">
      <c r="A42" s="373" t="s">
        <v>553</v>
      </c>
      <c r="B42" s="366"/>
      <c r="C42" s="366"/>
      <c r="D42" s="366"/>
      <c r="E42" s="366"/>
      <c r="F42" s="366"/>
    </row>
    <row r="43" spans="1:6" ht="15">
      <c r="A43" s="373" t="s">
        <v>442</v>
      </c>
      <c r="B43" s="366"/>
      <c r="C43" s="366"/>
      <c r="D43" s="366"/>
      <c r="E43" s="366"/>
      <c r="F43" s="366"/>
    </row>
    <row r="44" spans="1:6" ht="15">
      <c r="A44" s="373" t="s">
        <v>443</v>
      </c>
      <c r="B44" s="366"/>
      <c r="C44" s="366"/>
      <c r="D44" s="366"/>
      <c r="E44" s="366"/>
      <c r="F44" s="366"/>
    </row>
    <row r="45" ht="15">
      <c r="A45" s="366"/>
    </row>
    <row r="46" spans="1:6" ht="15">
      <c r="A46" s="373" t="str">
        <f>CONCATENATE("Additionally, do your ",inputPrYr!C5-1," receipts contain a reimbursement")</f>
        <v>Additionally, do your -1 receipts contain a reimbursement</v>
      </c>
      <c r="B46" s="366"/>
      <c r="C46" s="366"/>
      <c r="D46" s="366"/>
      <c r="E46" s="366"/>
      <c r="F46" s="366"/>
    </row>
    <row r="47" spans="1:6" ht="15">
      <c r="A47" s="373" t="s">
        <v>444</v>
      </c>
      <c r="B47" s="366"/>
      <c r="C47" s="366"/>
      <c r="D47" s="366"/>
      <c r="E47" s="366"/>
      <c r="F47" s="366"/>
    </row>
    <row r="48" spans="1:6" ht="15">
      <c r="A48" s="373" t="s">
        <v>445</v>
      </c>
      <c r="B48" s="366"/>
      <c r="C48" s="366"/>
      <c r="D48" s="366"/>
      <c r="E48" s="366"/>
      <c r="F48" s="366"/>
    </row>
    <row r="49" spans="1:7" ht="15">
      <c r="A49" s="366"/>
      <c r="B49" s="366"/>
      <c r="C49" s="366"/>
      <c r="D49" s="366"/>
      <c r="E49" s="366"/>
      <c r="F49" s="366"/>
      <c r="G49" s="366"/>
    </row>
    <row r="50" spans="1:7" ht="15">
      <c r="A50" s="366" t="s">
        <v>507</v>
      </c>
      <c r="B50" s="366"/>
      <c r="C50" s="366"/>
      <c r="D50" s="366"/>
      <c r="E50" s="366"/>
      <c r="F50" s="366"/>
      <c r="G50" s="366"/>
    </row>
    <row r="51" spans="1:7" ht="15">
      <c r="A51" s="366" t="s">
        <v>508</v>
      </c>
      <c r="B51" s="366"/>
      <c r="C51" s="366"/>
      <c r="D51" s="366"/>
      <c r="E51" s="366"/>
      <c r="F51" s="366"/>
      <c r="G51" s="366"/>
    </row>
    <row r="52" spans="1:7" ht="15">
      <c r="A52" s="366" t="s">
        <v>509</v>
      </c>
      <c r="B52" s="366"/>
      <c r="C52" s="366"/>
      <c r="D52" s="366"/>
      <c r="E52" s="366"/>
      <c r="F52" s="366"/>
      <c r="G52" s="366"/>
    </row>
    <row r="53" spans="1:7" ht="15">
      <c r="A53" s="366" t="s">
        <v>510</v>
      </c>
      <c r="B53" s="366"/>
      <c r="C53" s="366"/>
      <c r="D53" s="366"/>
      <c r="E53" s="366"/>
      <c r="F53" s="366"/>
      <c r="G53" s="366"/>
    </row>
    <row r="54" spans="1:7" ht="15">
      <c r="A54" s="366" t="s">
        <v>511</v>
      </c>
      <c r="B54" s="366"/>
      <c r="C54" s="366"/>
      <c r="D54" s="366"/>
      <c r="E54" s="366"/>
      <c r="F54" s="366"/>
      <c r="G54" s="366"/>
    </row>
    <row r="55" spans="1:7" ht="15">
      <c r="A55" s="366"/>
      <c r="B55" s="366"/>
      <c r="C55" s="366"/>
      <c r="D55" s="366"/>
      <c r="E55" s="366"/>
      <c r="F55" s="366"/>
      <c r="G55" s="366"/>
    </row>
    <row r="56" spans="1:6" ht="15">
      <c r="A56" s="373" t="s">
        <v>449</v>
      </c>
      <c r="B56" s="366"/>
      <c r="C56" s="366"/>
      <c r="D56" s="366"/>
      <c r="E56" s="366"/>
      <c r="F56" s="366"/>
    </row>
    <row r="57" spans="1:6" ht="15">
      <c r="A57" s="373" t="s">
        <v>450</v>
      </c>
      <c r="B57" s="366"/>
      <c r="C57" s="366"/>
      <c r="D57" s="366"/>
      <c r="E57" s="366"/>
      <c r="F57" s="366"/>
    </row>
    <row r="58" spans="1:6" ht="15">
      <c r="A58" s="373" t="s">
        <v>451</v>
      </c>
      <c r="B58" s="366"/>
      <c r="C58" s="366"/>
      <c r="D58" s="366"/>
      <c r="E58" s="366"/>
      <c r="F58" s="366"/>
    </row>
    <row r="59" spans="1:6" ht="15">
      <c r="A59" s="373"/>
      <c r="B59" s="366"/>
      <c r="C59" s="366"/>
      <c r="D59" s="366"/>
      <c r="E59" s="366"/>
      <c r="F59" s="366"/>
    </row>
    <row r="60" spans="1:7" ht="15">
      <c r="A60" s="366" t="s">
        <v>588</v>
      </c>
      <c r="B60" s="366"/>
      <c r="C60" s="366"/>
      <c r="D60" s="366"/>
      <c r="E60" s="366"/>
      <c r="F60" s="366"/>
      <c r="G60" s="366"/>
    </row>
    <row r="61" spans="1:7" ht="15">
      <c r="A61" s="366" t="s">
        <v>589</v>
      </c>
      <c r="B61" s="366"/>
      <c r="C61" s="366"/>
      <c r="D61" s="366"/>
      <c r="E61" s="366"/>
      <c r="F61" s="366"/>
      <c r="G61" s="366"/>
    </row>
    <row r="62" spans="1:7" ht="15">
      <c r="A62" s="366" t="s">
        <v>590</v>
      </c>
      <c r="B62" s="366"/>
      <c r="C62" s="366"/>
      <c r="D62" s="366"/>
      <c r="E62" s="366"/>
      <c r="F62" s="366"/>
      <c r="G62" s="366"/>
    </row>
    <row r="63" spans="1:7" ht="15">
      <c r="A63" s="366" t="s">
        <v>591</v>
      </c>
      <c r="B63" s="366"/>
      <c r="C63" s="366"/>
      <c r="D63" s="366"/>
      <c r="E63" s="366"/>
      <c r="F63" s="366"/>
      <c r="G63" s="366"/>
    </row>
    <row r="64" spans="1:7" ht="15">
      <c r="A64" s="366" t="s">
        <v>592</v>
      </c>
      <c r="B64" s="366"/>
      <c r="C64" s="366"/>
      <c r="D64" s="366"/>
      <c r="E64" s="366"/>
      <c r="F64" s="366"/>
      <c r="G64" s="366"/>
    </row>
    <row r="66" spans="1:6" ht="15">
      <c r="A66" s="373" t="s">
        <v>555</v>
      </c>
      <c r="B66" s="366"/>
      <c r="C66" s="366"/>
      <c r="D66" s="366"/>
      <c r="E66" s="366"/>
      <c r="F66" s="366"/>
    </row>
    <row r="67" spans="1:6" ht="15">
      <c r="A67" s="373" t="s">
        <v>556</v>
      </c>
      <c r="B67" s="366"/>
      <c r="C67" s="366"/>
      <c r="D67" s="366"/>
      <c r="E67" s="366"/>
      <c r="F67" s="366"/>
    </row>
    <row r="68" spans="1:6" ht="15">
      <c r="A68" s="373" t="s">
        <v>557</v>
      </c>
      <c r="B68" s="366"/>
      <c r="C68" s="366"/>
      <c r="D68" s="366"/>
      <c r="E68" s="366"/>
      <c r="F68" s="366"/>
    </row>
    <row r="69" spans="1:6" ht="15">
      <c r="A69" s="373" t="s">
        <v>558</v>
      </c>
      <c r="B69" s="366"/>
      <c r="C69" s="366"/>
      <c r="D69" s="366"/>
      <c r="E69" s="366"/>
      <c r="F69" s="366"/>
    </row>
    <row r="70" spans="1:6" ht="15">
      <c r="A70" s="373" t="s">
        <v>559</v>
      </c>
      <c r="B70" s="366"/>
      <c r="C70" s="366"/>
      <c r="D70" s="366"/>
      <c r="E70" s="366"/>
      <c r="F70" s="366"/>
    </row>
    <row r="71" ht="15">
      <c r="A71" s="366"/>
    </row>
    <row r="72" ht="15">
      <c r="A72" s="366" t="s">
        <v>478</v>
      </c>
    </row>
    <row r="73" ht="15">
      <c r="A73" s="366"/>
    </row>
    <row r="74" ht="15">
      <c r="A74" s="366"/>
    </row>
    <row r="75" ht="15">
      <c r="A75" s="366"/>
    </row>
    <row r="78" ht="15">
      <c r="A78" s="365"/>
    </row>
    <row r="80" ht="15">
      <c r="A80" s="366"/>
    </row>
    <row r="81" ht="15">
      <c r="A81" s="366"/>
    </row>
    <row r="82" ht="15">
      <c r="A82" s="366"/>
    </row>
    <row r="83" ht="15">
      <c r="A83" s="366"/>
    </row>
    <row r="84" ht="15">
      <c r="A84" s="366"/>
    </row>
    <row r="85" ht="15">
      <c r="A85" s="366"/>
    </row>
    <row r="86" ht="15">
      <c r="A86" s="366"/>
    </row>
    <row r="87" ht="15">
      <c r="A87" s="366"/>
    </row>
    <row r="88" ht="15">
      <c r="A88" s="366"/>
    </row>
    <row r="89" ht="15">
      <c r="A89" s="366"/>
    </row>
    <row r="90" ht="15">
      <c r="A90" s="366"/>
    </row>
    <row r="92" ht="15">
      <c r="A92" s="366"/>
    </row>
    <row r="93" ht="15">
      <c r="A93" s="366"/>
    </row>
    <row r="94" ht="15">
      <c r="A94" s="366"/>
    </row>
    <row r="95" ht="15">
      <c r="A95" s="366"/>
    </row>
    <row r="96" ht="15">
      <c r="A96" s="366"/>
    </row>
    <row r="97" ht="15">
      <c r="A97" s="366"/>
    </row>
    <row r="98" ht="15">
      <c r="A98" s="366"/>
    </row>
    <row r="99" ht="15">
      <c r="A99" s="366"/>
    </row>
    <row r="100" ht="15">
      <c r="A100" s="366"/>
    </row>
    <row r="101" ht="15">
      <c r="A101" s="366"/>
    </row>
    <row r="102" ht="15">
      <c r="A102" s="366"/>
    </row>
    <row r="103" ht="15">
      <c r="A103" s="366"/>
    </row>
    <row r="104" ht="15">
      <c r="A104" s="366"/>
    </row>
    <row r="105" ht="15">
      <c r="A105" s="366"/>
    </row>
    <row r="106" ht="15">
      <c r="A106" s="366"/>
    </row>
  </sheetData>
  <sheetProtection sheet="1"/>
  <printOptions/>
  <pageMargins left="0.7" right="0.7" top="0.75" bottom="0.75" header="0.3" footer="0.3"/>
  <pageSetup horizontalDpi="600" verticalDpi="600" orientation="portrait" r:id="rId1"/>
</worksheet>
</file>

<file path=xl/worksheets/sheet4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N97" sqref="N97"/>
    </sheetView>
  </sheetViews>
  <sheetFormatPr defaultColWidth="8.796875" defaultRowHeight="15"/>
  <cols>
    <col min="1" max="1" width="71.296875" style="0" customWidth="1"/>
  </cols>
  <sheetData>
    <row r="3" spans="1:7" ht="15">
      <c r="A3" s="367" t="s">
        <v>593</v>
      </c>
      <c r="B3" s="367"/>
      <c r="C3" s="367"/>
      <c r="D3" s="367"/>
      <c r="E3" s="367"/>
      <c r="F3" s="367"/>
      <c r="G3" s="367"/>
    </row>
    <row r="4" spans="1:7" ht="15">
      <c r="A4" s="367" t="s">
        <v>594</v>
      </c>
      <c r="B4" s="367"/>
      <c r="C4" s="367"/>
      <c r="D4" s="367"/>
      <c r="E4" s="367"/>
      <c r="F4" s="367"/>
      <c r="G4" s="367"/>
    </row>
    <row r="5" spans="1:7" ht="15">
      <c r="A5" s="367"/>
      <c r="B5" s="367"/>
      <c r="C5" s="367"/>
      <c r="D5" s="367"/>
      <c r="E5" s="367"/>
      <c r="F5" s="367"/>
      <c r="G5" s="367"/>
    </row>
    <row r="6" spans="1:7" ht="15">
      <c r="A6" s="367"/>
      <c r="B6" s="367"/>
      <c r="C6" s="367"/>
      <c r="D6" s="367"/>
      <c r="E6" s="367"/>
      <c r="F6" s="367"/>
      <c r="G6" s="367"/>
    </row>
    <row r="7" ht="15">
      <c r="A7" s="366" t="s">
        <v>428</v>
      </c>
    </row>
    <row r="8" ht="15">
      <c r="A8" s="366" t="str">
        <f>CONCATENATE("estimated ",inputPrYr!C5," 'total expenditures' exceed your ",inputPrYr!C5,"")</f>
        <v>estimated  'total expenditures' exceed your </v>
      </c>
    </row>
    <row r="9" ht="15">
      <c r="A9" s="369" t="s">
        <v>595</v>
      </c>
    </row>
    <row r="10" ht="15">
      <c r="A10" s="366"/>
    </row>
    <row r="11" ht="15">
      <c r="A11" s="366" t="s">
        <v>596</v>
      </c>
    </row>
    <row r="12" ht="15">
      <c r="A12" s="366" t="s">
        <v>597</v>
      </c>
    </row>
    <row r="13" ht="15">
      <c r="A13" s="366" t="s">
        <v>598</v>
      </c>
    </row>
    <row r="14" ht="15">
      <c r="A14" s="366"/>
    </row>
    <row r="15" ht="15">
      <c r="A15" s="365" t="s">
        <v>599</v>
      </c>
    </row>
    <row r="16" spans="1:7" ht="15">
      <c r="A16" s="367"/>
      <c r="B16" s="367"/>
      <c r="C16" s="367"/>
      <c r="D16" s="367"/>
      <c r="E16" s="367"/>
      <c r="F16" s="367"/>
      <c r="G16" s="367"/>
    </row>
    <row r="17" spans="1:8" ht="15">
      <c r="A17" s="370" t="s">
        <v>600</v>
      </c>
      <c r="B17" s="357"/>
      <c r="C17" s="357"/>
      <c r="D17" s="357"/>
      <c r="E17" s="357"/>
      <c r="F17" s="357"/>
      <c r="G17" s="357"/>
      <c r="H17" s="357"/>
    </row>
    <row r="18" spans="1:7" ht="15">
      <c r="A18" s="366" t="s">
        <v>601</v>
      </c>
      <c r="B18" s="371"/>
      <c r="C18" s="371"/>
      <c r="D18" s="371"/>
      <c r="E18" s="371"/>
      <c r="F18" s="371"/>
      <c r="G18" s="371"/>
    </row>
    <row r="19" ht="15">
      <c r="A19" s="366" t="s">
        <v>602</v>
      </c>
    </row>
    <row r="20" ht="15">
      <c r="A20" s="366" t="s">
        <v>603</v>
      </c>
    </row>
    <row r="22" ht="15">
      <c r="A22" s="365" t="s">
        <v>604</v>
      </c>
    </row>
    <row r="24" ht="15">
      <c r="A24" s="366" t="s">
        <v>605</v>
      </c>
    </row>
    <row r="25" ht="15">
      <c r="A25" s="366" t="s">
        <v>606</v>
      </c>
    </row>
    <row r="26" ht="15">
      <c r="A26" s="366" t="s">
        <v>607</v>
      </c>
    </row>
    <row r="28" ht="15">
      <c r="A28" s="365" t="s">
        <v>608</v>
      </c>
    </row>
    <row r="30" ht="15">
      <c r="A30" t="s">
        <v>609</v>
      </c>
    </row>
    <row r="31" ht="15">
      <c r="A31" t="s">
        <v>610</v>
      </c>
    </row>
    <row r="32" ht="15">
      <c r="A32" t="s">
        <v>611</v>
      </c>
    </row>
    <row r="33" ht="15">
      <c r="A33" s="366" t="s">
        <v>612</v>
      </c>
    </row>
    <row r="35" ht="15">
      <c r="A35" t="s">
        <v>613</v>
      </c>
    </row>
    <row r="36" ht="15">
      <c r="A36" t="s">
        <v>614</v>
      </c>
    </row>
    <row r="37" ht="15">
      <c r="A37" t="s">
        <v>615</v>
      </c>
    </row>
    <row r="38" ht="15">
      <c r="A38" t="s">
        <v>616</v>
      </c>
    </row>
    <row r="40" ht="15">
      <c r="A40" t="s">
        <v>617</v>
      </c>
    </row>
    <row r="41" ht="15">
      <c r="A41" t="s">
        <v>618</v>
      </c>
    </row>
    <row r="42" ht="15">
      <c r="A42" t="s">
        <v>619</v>
      </c>
    </row>
    <row r="43" ht="15">
      <c r="A43" t="s">
        <v>620</v>
      </c>
    </row>
    <row r="44" ht="15">
      <c r="A44" t="s">
        <v>621</v>
      </c>
    </row>
    <row r="45" ht="15">
      <c r="A45" t="s">
        <v>622</v>
      </c>
    </row>
    <row r="47" ht="15">
      <c r="A47" t="s">
        <v>623</v>
      </c>
    </row>
    <row r="48" ht="15">
      <c r="A48" t="s">
        <v>624</v>
      </c>
    </row>
    <row r="49" ht="15">
      <c r="A49" s="366" t="s">
        <v>625</v>
      </c>
    </row>
    <row r="50" ht="15">
      <c r="A50" s="366" t="s">
        <v>626</v>
      </c>
    </row>
    <row r="52" ht="15">
      <c r="A52" t="s">
        <v>478</v>
      </c>
    </row>
  </sheetData>
  <sheetProtection sheet="1"/>
  <printOptions/>
  <pageMargins left="0.7" right="0.7" top="0.75" bottom="0.75" header="0.3" footer="0.3"/>
  <pageSetup horizontalDpi="600" verticalDpi="600" orientation="portrait" r:id="rId1"/>
</worksheet>
</file>

<file path=xl/worksheets/sheet48.xml><?xml version="1.0" encoding="utf-8"?>
<worksheet xmlns="http://schemas.openxmlformats.org/spreadsheetml/2006/main" xmlns:r="http://schemas.openxmlformats.org/officeDocument/2006/relationships">
  <dimension ref="A1:X354"/>
  <sheetViews>
    <sheetView zoomScalePageLayoutView="0" workbookViewId="0" topLeftCell="A1">
      <selection activeCell="V225" sqref="V225"/>
    </sheetView>
  </sheetViews>
  <sheetFormatPr defaultColWidth="8.796875" defaultRowHeight="15"/>
  <cols>
    <col min="1" max="1" width="7.59765625" style="418" customWidth="1"/>
    <col min="2" max="2" width="11.19921875" style="487" customWidth="1"/>
    <col min="3" max="3" width="7.3984375" style="487" customWidth="1"/>
    <col min="4" max="4" width="8.8984375" style="487" customWidth="1"/>
    <col min="5" max="5" width="1.59765625" style="487" customWidth="1"/>
    <col min="6" max="6" width="14.296875" style="487" customWidth="1"/>
    <col min="7" max="7" width="2.59765625" style="487" customWidth="1"/>
    <col min="8" max="8" width="9.796875" style="487" customWidth="1"/>
    <col min="9" max="9" width="2" style="487" customWidth="1"/>
    <col min="10" max="10" width="8.59765625" style="487" customWidth="1"/>
    <col min="11" max="11" width="11.69921875" style="487" customWidth="1"/>
    <col min="12" max="12" width="7.59765625" style="418" customWidth="1"/>
    <col min="13" max="14" width="8.8984375" style="418" customWidth="1"/>
    <col min="15" max="15" width="9.8984375" style="418" bestFit="1" customWidth="1"/>
    <col min="16" max="16384" width="8.8984375" style="418" customWidth="1"/>
  </cols>
  <sheetData>
    <row r="1" spans="1:12" ht="14.25">
      <c r="A1" s="486"/>
      <c r="B1" s="486"/>
      <c r="C1" s="486"/>
      <c r="D1" s="486"/>
      <c r="E1" s="486"/>
      <c r="F1" s="486"/>
      <c r="G1" s="486"/>
      <c r="H1" s="486"/>
      <c r="I1" s="486"/>
      <c r="J1" s="486"/>
      <c r="K1" s="486"/>
      <c r="L1" s="486"/>
    </row>
    <row r="2" spans="1:12" ht="14.25">
      <c r="A2" s="486"/>
      <c r="B2" s="486"/>
      <c r="C2" s="486"/>
      <c r="D2" s="486"/>
      <c r="E2" s="486"/>
      <c r="F2" s="486"/>
      <c r="G2" s="486"/>
      <c r="H2" s="486"/>
      <c r="I2" s="486"/>
      <c r="J2" s="486"/>
      <c r="K2" s="486"/>
      <c r="L2" s="486"/>
    </row>
    <row r="3" spans="1:12" ht="14.25">
      <c r="A3" s="486"/>
      <c r="B3" s="486"/>
      <c r="C3" s="486"/>
      <c r="D3" s="486"/>
      <c r="E3" s="486"/>
      <c r="F3" s="486"/>
      <c r="G3" s="486"/>
      <c r="H3" s="486"/>
      <c r="I3" s="486"/>
      <c r="J3" s="486"/>
      <c r="K3" s="486"/>
      <c r="L3" s="486"/>
    </row>
    <row r="4" spans="1:12" ht="14.25">
      <c r="A4" s="486"/>
      <c r="L4" s="486"/>
    </row>
    <row r="5" spans="1:12" ht="15" customHeight="1">
      <c r="A5" s="486"/>
      <c r="L5" s="486"/>
    </row>
    <row r="6" spans="1:12" ht="33" customHeight="1">
      <c r="A6" s="486"/>
      <c r="B6" s="901" t="s">
        <v>943</v>
      </c>
      <c r="C6" s="903"/>
      <c r="D6" s="903"/>
      <c r="E6" s="903"/>
      <c r="F6" s="903"/>
      <c r="G6" s="903"/>
      <c r="H6" s="903"/>
      <c r="I6" s="903"/>
      <c r="J6" s="903"/>
      <c r="K6" s="903"/>
      <c r="L6" s="488"/>
    </row>
    <row r="7" spans="1:12" ht="40.5" customHeight="1">
      <c r="A7" s="486"/>
      <c r="B7" s="904" t="s">
        <v>706</v>
      </c>
      <c r="C7" s="905"/>
      <c r="D7" s="905"/>
      <c r="E7" s="905"/>
      <c r="F7" s="905"/>
      <c r="G7" s="905"/>
      <c r="H7" s="905"/>
      <c r="I7" s="905"/>
      <c r="J7" s="905"/>
      <c r="K7" s="905"/>
      <c r="L7" s="486"/>
    </row>
    <row r="8" spans="1:12" ht="14.25">
      <c r="A8" s="486"/>
      <c r="B8" s="906" t="s">
        <v>707</v>
      </c>
      <c r="C8" s="906"/>
      <c r="D8" s="906"/>
      <c r="E8" s="906"/>
      <c r="F8" s="906"/>
      <c r="G8" s="906"/>
      <c r="H8" s="906"/>
      <c r="I8" s="906"/>
      <c r="J8" s="906"/>
      <c r="K8" s="906"/>
      <c r="L8" s="486"/>
    </row>
    <row r="9" spans="1:12" ht="14.25">
      <c r="A9" s="486"/>
      <c r="L9" s="486"/>
    </row>
    <row r="10" spans="1:12" ht="14.25">
      <c r="A10" s="486"/>
      <c r="B10" s="906" t="s">
        <v>708</v>
      </c>
      <c r="C10" s="906"/>
      <c r="D10" s="906"/>
      <c r="E10" s="906"/>
      <c r="F10" s="906"/>
      <c r="G10" s="906"/>
      <c r="H10" s="906"/>
      <c r="I10" s="906"/>
      <c r="J10" s="906"/>
      <c r="K10" s="906"/>
      <c r="L10" s="486"/>
    </row>
    <row r="11" spans="1:12" ht="14.25">
      <c r="A11" s="486"/>
      <c r="B11" s="552"/>
      <c r="C11" s="552"/>
      <c r="D11" s="552"/>
      <c r="E11" s="552"/>
      <c r="F11" s="552"/>
      <c r="G11" s="552"/>
      <c r="H11" s="552"/>
      <c r="I11" s="552"/>
      <c r="J11" s="552"/>
      <c r="K11" s="552"/>
      <c r="L11" s="486"/>
    </row>
    <row r="12" spans="1:12" ht="32.25" customHeight="1">
      <c r="A12" s="486"/>
      <c r="B12" s="907" t="s">
        <v>709</v>
      </c>
      <c r="C12" s="907"/>
      <c r="D12" s="907"/>
      <c r="E12" s="907"/>
      <c r="F12" s="907"/>
      <c r="G12" s="907"/>
      <c r="H12" s="907"/>
      <c r="I12" s="907"/>
      <c r="J12" s="907"/>
      <c r="K12" s="907"/>
      <c r="L12" s="486"/>
    </row>
    <row r="13" spans="1:12" ht="14.25">
      <c r="A13" s="486"/>
      <c r="L13" s="486"/>
    </row>
    <row r="14" spans="1:12" ht="14.25">
      <c r="A14" s="486"/>
      <c r="B14" s="469" t="s">
        <v>710</v>
      </c>
      <c r="L14" s="486"/>
    </row>
    <row r="15" spans="1:12" ht="14.25">
      <c r="A15" s="486"/>
      <c r="L15" s="486"/>
    </row>
    <row r="16" spans="1:12" ht="14.25">
      <c r="A16" s="486"/>
      <c r="B16" s="487" t="s">
        <v>711</v>
      </c>
      <c r="L16" s="486"/>
    </row>
    <row r="17" spans="1:12" ht="14.25">
      <c r="A17" s="486"/>
      <c r="B17" s="487" t="s">
        <v>712</v>
      </c>
      <c r="L17" s="486"/>
    </row>
    <row r="18" spans="1:12" ht="14.25">
      <c r="A18" s="486"/>
      <c r="L18" s="486"/>
    </row>
    <row r="19" spans="1:12" ht="14.25">
      <c r="A19" s="486"/>
      <c r="B19" s="469" t="s">
        <v>816</v>
      </c>
      <c r="L19" s="486"/>
    </row>
    <row r="20" spans="1:12" ht="14.25">
      <c r="A20" s="486"/>
      <c r="B20" s="469"/>
      <c r="L20" s="486"/>
    </row>
    <row r="21" spans="1:12" ht="14.25">
      <c r="A21" s="486"/>
      <c r="B21" s="487" t="s">
        <v>817</v>
      </c>
      <c r="L21" s="486"/>
    </row>
    <row r="22" spans="1:12" ht="14.25">
      <c r="A22" s="486"/>
      <c r="L22" s="486"/>
    </row>
    <row r="23" spans="1:12" ht="14.25">
      <c r="A23" s="486"/>
      <c r="B23" s="487" t="s">
        <v>713</v>
      </c>
      <c r="E23" s="487" t="s">
        <v>714</v>
      </c>
      <c r="F23" s="897">
        <v>312000000</v>
      </c>
      <c r="G23" s="897"/>
      <c r="L23" s="486"/>
    </row>
    <row r="24" spans="1:12" ht="14.25">
      <c r="A24" s="486"/>
      <c r="L24" s="486"/>
    </row>
    <row r="25" spans="1:12" ht="14.25">
      <c r="A25" s="486"/>
      <c r="C25" s="908">
        <f>F23</f>
        <v>312000000</v>
      </c>
      <c r="D25" s="908"/>
      <c r="E25" s="487" t="s">
        <v>715</v>
      </c>
      <c r="F25" s="489">
        <v>1000</v>
      </c>
      <c r="G25" s="489" t="s">
        <v>714</v>
      </c>
      <c r="H25" s="711">
        <f>F23/F25</f>
        <v>312000</v>
      </c>
      <c r="L25" s="486"/>
    </row>
    <row r="26" spans="1:12" ht="15" thickBot="1">
      <c r="A26" s="486"/>
      <c r="L26" s="486"/>
    </row>
    <row r="27" spans="1:12" ht="14.25">
      <c r="A27" s="486"/>
      <c r="B27" s="470" t="s">
        <v>710</v>
      </c>
      <c r="C27" s="490"/>
      <c r="D27" s="490"/>
      <c r="E27" s="490"/>
      <c r="F27" s="490"/>
      <c r="G27" s="490"/>
      <c r="H27" s="490"/>
      <c r="I27" s="490"/>
      <c r="J27" s="490"/>
      <c r="K27" s="491"/>
      <c r="L27" s="486"/>
    </row>
    <row r="28" spans="1:12" ht="14.25">
      <c r="A28" s="486"/>
      <c r="B28" s="492">
        <f>F23</f>
        <v>312000000</v>
      </c>
      <c r="C28" s="493" t="s">
        <v>716</v>
      </c>
      <c r="D28" s="493"/>
      <c r="E28" s="493" t="s">
        <v>715</v>
      </c>
      <c r="F28" s="556">
        <v>1000</v>
      </c>
      <c r="G28" s="556" t="s">
        <v>714</v>
      </c>
      <c r="H28" s="712">
        <f>B28/F28</f>
        <v>312000</v>
      </c>
      <c r="I28" s="493" t="s">
        <v>717</v>
      </c>
      <c r="J28" s="493"/>
      <c r="K28" s="494"/>
      <c r="L28" s="486"/>
    </row>
    <row r="29" spans="1:12" ht="15" thickBot="1">
      <c r="A29" s="486"/>
      <c r="B29" s="495"/>
      <c r="C29" s="496"/>
      <c r="D29" s="496"/>
      <c r="E29" s="496"/>
      <c r="F29" s="496"/>
      <c r="G29" s="496"/>
      <c r="H29" s="496"/>
      <c r="I29" s="496"/>
      <c r="J29" s="496"/>
      <c r="K29" s="497"/>
      <c r="L29" s="486"/>
    </row>
    <row r="30" spans="1:12" ht="40.5" customHeight="1">
      <c r="A30" s="486"/>
      <c r="B30" s="902" t="s">
        <v>706</v>
      </c>
      <c r="C30" s="902"/>
      <c r="D30" s="902"/>
      <c r="E30" s="902"/>
      <c r="F30" s="902"/>
      <c r="G30" s="902"/>
      <c r="H30" s="902"/>
      <c r="I30" s="902"/>
      <c r="J30" s="902"/>
      <c r="K30" s="902"/>
      <c r="L30" s="486"/>
    </row>
    <row r="31" spans="1:12" ht="14.25">
      <c r="A31" s="486"/>
      <c r="B31" s="906" t="s">
        <v>718</v>
      </c>
      <c r="C31" s="906"/>
      <c r="D31" s="906"/>
      <c r="E31" s="906"/>
      <c r="F31" s="906"/>
      <c r="G31" s="906"/>
      <c r="H31" s="906"/>
      <c r="I31" s="906"/>
      <c r="J31" s="906"/>
      <c r="K31" s="906"/>
      <c r="L31" s="486"/>
    </row>
    <row r="32" spans="1:12" ht="14.25">
      <c r="A32" s="486"/>
      <c r="L32" s="486"/>
    </row>
    <row r="33" spans="1:12" ht="14.25">
      <c r="A33" s="486"/>
      <c r="B33" s="906" t="s">
        <v>719</v>
      </c>
      <c r="C33" s="906"/>
      <c r="D33" s="906"/>
      <c r="E33" s="906"/>
      <c r="F33" s="906"/>
      <c r="G33" s="906"/>
      <c r="H33" s="906"/>
      <c r="I33" s="906"/>
      <c r="J33" s="906"/>
      <c r="K33" s="906"/>
      <c r="L33" s="486"/>
    </row>
    <row r="34" spans="1:12" ht="14.25">
      <c r="A34" s="486"/>
      <c r="L34" s="486"/>
    </row>
    <row r="35" spans="1:12" ht="89.25" customHeight="1">
      <c r="A35" s="486"/>
      <c r="B35" s="907" t="s">
        <v>720</v>
      </c>
      <c r="C35" s="900"/>
      <c r="D35" s="900"/>
      <c r="E35" s="900"/>
      <c r="F35" s="900"/>
      <c r="G35" s="900"/>
      <c r="H35" s="900"/>
      <c r="I35" s="900"/>
      <c r="J35" s="900"/>
      <c r="K35" s="900"/>
      <c r="L35" s="486"/>
    </row>
    <row r="36" spans="1:12" ht="14.25">
      <c r="A36" s="486"/>
      <c r="L36" s="486"/>
    </row>
    <row r="37" spans="1:12" ht="14.25">
      <c r="A37" s="486"/>
      <c r="B37" s="469" t="s">
        <v>721</v>
      </c>
      <c r="L37" s="486"/>
    </row>
    <row r="38" spans="1:12" ht="14.25">
      <c r="A38" s="486"/>
      <c r="L38" s="486"/>
    </row>
    <row r="39" spans="1:12" ht="14.25">
      <c r="A39" s="486"/>
      <c r="B39" s="487" t="s">
        <v>722</v>
      </c>
      <c r="L39" s="486"/>
    </row>
    <row r="40" spans="1:12" ht="14.25">
      <c r="A40" s="486"/>
      <c r="L40" s="486"/>
    </row>
    <row r="41" spans="1:12" ht="14.25">
      <c r="A41" s="486"/>
      <c r="C41" s="909">
        <v>312000000</v>
      </c>
      <c r="D41" s="909"/>
      <c r="E41" s="487" t="s">
        <v>715</v>
      </c>
      <c r="F41" s="489">
        <v>1000</v>
      </c>
      <c r="G41" s="489" t="s">
        <v>714</v>
      </c>
      <c r="H41" s="713">
        <f>C41/F41</f>
        <v>312000</v>
      </c>
      <c r="L41" s="486"/>
    </row>
    <row r="42" spans="1:12" ht="14.25">
      <c r="A42" s="486"/>
      <c r="L42" s="486"/>
    </row>
    <row r="43" spans="1:12" ht="14.25">
      <c r="A43" s="486"/>
      <c r="B43" s="487" t="s">
        <v>723</v>
      </c>
      <c r="L43" s="486"/>
    </row>
    <row r="44" spans="1:12" ht="14.25">
      <c r="A44" s="486"/>
      <c r="L44" s="486"/>
    </row>
    <row r="45" spans="1:12" ht="14.25">
      <c r="A45" s="486"/>
      <c r="B45" s="487" t="s">
        <v>724</v>
      </c>
      <c r="L45" s="486"/>
    </row>
    <row r="46" spans="1:12" ht="15" thickBot="1">
      <c r="A46" s="486"/>
      <c r="L46" s="486"/>
    </row>
    <row r="47" spans="1:12" ht="14.25">
      <c r="A47" s="486"/>
      <c r="B47" s="498" t="s">
        <v>710</v>
      </c>
      <c r="C47" s="490"/>
      <c r="D47" s="490"/>
      <c r="E47" s="490"/>
      <c r="F47" s="490"/>
      <c r="G47" s="490"/>
      <c r="H47" s="490"/>
      <c r="I47" s="490"/>
      <c r="J47" s="490"/>
      <c r="K47" s="491"/>
      <c r="L47" s="486"/>
    </row>
    <row r="48" spans="1:12" ht="14.25">
      <c r="A48" s="486"/>
      <c r="B48" s="910">
        <v>312000000</v>
      </c>
      <c r="C48" s="897"/>
      <c r="D48" s="493" t="s">
        <v>725</v>
      </c>
      <c r="E48" s="493" t="s">
        <v>715</v>
      </c>
      <c r="F48" s="556">
        <v>1000</v>
      </c>
      <c r="G48" s="556" t="s">
        <v>714</v>
      </c>
      <c r="H48" s="712">
        <f>B48/F48</f>
        <v>312000</v>
      </c>
      <c r="I48" s="493" t="s">
        <v>726</v>
      </c>
      <c r="J48" s="493"/>
      <c r="K48" s="494"/>
      <c r="L48" s="486"/>
    </row>
    <row r="49" spans="1:12" ht="14.25">
      <c r="A49" s="486"/>
      <c r="B49" s="499"/>
      <c r="C49" s="493"/>
      <c r="D49" s="493"/>
      <c r="E49" s="493"/>
      <c r="F49" s="493"/>
      <c r="G49" s="493"/>
      <c r="H49" s="493"/>
      <c r="I49" s="493"/>
      <c r="J49" s="493"/>
      <c r="K49" s="494"/>
      <c r="L49" s="486"/>
    </row>
    <row r="50" spans="1:12" ht="14.25">
      <c r="A50" s="486"/>
      <c r="B50" s="500">
        <v>50000</v>
      </c>
      <c r="C50" s="493" t="s">
        <v>727</v>
      </c>
      <c r="D50" s="493"/>
      <c r="E50" s="493" t="s">
        <v>715</v>
      </c>
      <c r="F50" s="712">
        <f>H48</f>
        <v>312000</v>
      </c>
      <c r="G50" s="911" t="s">
        <v>728</v>
      </c>
      <c r="H50" s="912"/>
      <c r="I50" s="556" t="s">
        <v>714</v>
      </c>
      <c r="J50" s="501">
        <f>B50/F50</f>
        <v>0.16025641025641027</v>
      </c>
      <c r="K50" s="494"/>
      <c r="L50" s="486"/>
    </row>
    <row r="51" spans="1:15" ht="15" thickBot="1">
      <c r="A51" s="486"/>
      <c r="B51" s="495"/>
      <c r="C51" s="496"/>
      <c r="D51" s="496"/>
      <c r="E51" s="496"/>
      <c r="F51" s="496"/>
      <c r="G51" s="496"/>
      <c r="H51" s="496"/>
      <c r="I51" s="913" t="s">
        <v>729</v>
      </c>
      <c r="J51" s="913"/>
      <c r="K51" s="914"/>
      <c r="L51" s="486"/>
      <c r="O51" s="502"/>
    </row>
    <row r="52" spans="1:12" ht="40.5" customHeight="1">
      <c r="A52" s="486"/>
      <c r="B52" s="902" t="s">
        <v>706</v>
      </c>
      <c r="C52" s="902"/>
      <c r="D52" s="902"/>
      <c r="E52" s="902"/>
      <c r="F52" s="902"/>
      <c r="G52" s="902"/>
      <c r="H52" s="902"/>
      <c r="I52" s="902"/>
      <c r="J52" s="902"/>
      <c r="K52" s="902"/>
      <c r="L52" s="486"/>
    </row>
    <row r="53" spans="1:12" ht="14.25">
      <c r="A53" s="486"/>
      <c r="B53" s="906" t="s">
        <v>730</v>
      </c>
      <c r="C53" s="906"/>
      <c r="D53" s="906"/>
      <c r="E53" s="906"/>
      <c r="F53" s="906"/>
      <c r="G53" s="906"/>
      <c r="H53" s="906"/>
      <c r="I53" s="906"/>
      <c r="J53" s="906"/>
      <c r="K53" s="906"/>
      <c r="L53" s="486"/>
    </row>
    <row r="54" spans="1:12" ht="14.25">
      <c r="A54" s="486"/>
      <c r="B54" s="552"/>
      <c r="C54" s="552"/>
      <c r="D54" s="552"/>
      <c r="E54" s="552"/>
      <c r="F54" s="552"/>
      <c r="G54" s="552"/>
      <c r="H54" s="552"/>
      <c r="I54" s="552"/>
      <c r="J54" s="552"/>
      <c r="K54" s="552"/>
      <c r="L54" s="486"/>
    </row>
    <row r="55" spans="1:12" ht="14.25">
      <c r="A55" s="486"/>
      <c r="B55" s="901" t="s">
        <v>731</v>
      </c>
      <c r="C55" s="901"/>
      <c r="D55" s="901"/>
      <c r="E55" s="901"/>
      <c r="F55" s="901"/>
      <c r="G55" s="901"/>
      <c r="H55" s="901"/>
      <c r="I55" s="901"/>
      <c r="J55" s="901"/>
      <c r="K55" s="901"/>
      <c r="L55" s="486"/>
    </row>
    <row r="56" spans="1:12" ht="15" customHeight="1">
      <c r="A56" s="486"/>
      <c r="L56" s="486"/>
    </row>
    <row r="57" spans="1:24" ht="74.25" customHeight="1">
      <c r="A57" s="486"/>
      <c r="B57" s="907" t="s">
        <v>732</v>
      </c>
      <c r="C57" s="900"/>
      <c r="D57" s="900"/>
      <c r="E57" s="900"/>
      <c r="F57" s="900"/>
      <c r="G57" s="900"/>
      <c r="H57" s="900"/>
      <c r="I57" s="900"/>
      <c r="J57" s="900"/>
      <c r="K57" s="900"/>
      <c r="L57" s="486"/>
      <c r="M57" s="471"/>
      <c r="N57" s="419"/>
      <c r="O57" s="419"/>
      <c r="P57" s="419"/>
      <c r="Q57" s="419"/>
      <c r="R57" s="419"/>
      <c r="S57" s="419"/>
      <c r="T57" s="419"/>
      <c r="U57" s="419"/>
      <c r="V57" s="419"/>
      <c r="W57" s="419"/>
      <c r="X57" s="419"/>
    </row>
    <row r="58" spans="1:24" ht="15" customHeight="1">
      <c r="A58" s="486"/>
      <c r="B58" s="907"/>
      <c r="C58" s="900"/>
      <c r="D58" s="900"/>
      <c r="E58" s="900"/>
      <c r="F58" s="900"/>
      <c r="G58" s="900"/>
      <c r="H58" s="900"/>
      <c r="I58" s="900"/>
      <c r="J58" s="900"/>
      <c r="K58" s="900"/>
      <c r="L58" s="486"/>
      <c r="M58" s="471"/>
      <c r="N58" s="419"/>
      <c r="O58" s="419"/>
      <c r="P58" s="419"/>
      <c r="Q58" s="419"/>
      <c r="R58" s="419"/>
      <c r="S58" s="419"/>
      <c r="T58" s="419"/>
      <c r="U58" s="419"/>
      <c r="V58" s="419"/>
      <c r="W58" s="419"/>
      <c r="X58" s="419"/>
    </row>
    <row r="59" spans="1:24" ht="14.25">
      <c r="A59" s="486"/>
      <c r="B59" s="469" t="s">
        <v>721</v>
      </c>
      <c r="L59" s="486"/>
      <c r="M59" s="419"/>
      <c r="N59" s="419"/>
      <c r="O59" s="419"/>
      <c r="P59" s="419"/>
      <c r="Q59" s="419"/>
      <c r="R59" s="419"/>
      <c r="S59" s="419"/>
      <c r="T59" s="419"/>
      <c r="U59" s="419"/>
      <c r="V59" s="419"/>
      <c r="W59" s="419"/>
      <c r="X59" s="419"/>
    </row>
    <row r="60" spans="1:24" ht="14.25">
      <c r="A60" s="486"/>
      <c r="L60" s="486"/>
      <c r="M60" s="419"/>
      <c r="N60" s="419"/>
      <c r="O60" s="419"/>
      <c r="P60" s="419"/>
      <c r="Q60" s="419"/>
      <c r="R60" s="419"/>
      <c r="S60" s="419"/>
      <c r="T60" s="419"/>
      <c r="U60" s="419"/>
      <c r="V60" s="419"/>
      <c r="W60" s="419"/>
      <c r="X60" s="419"/>
    </row>
    <row r="61" spans="1:24" ht="14.25">
      <c r="A61" s="486"/>
      <c r="B61" s="487" t="s">
        <v>733</v>
      </c>
      <c r="L61" s="486"/>
      <c r="M61" s="419"/>
      <c r="N61" s="419"/>
      <c r="O61" s="419"/>
      <c r="P61" s="419"/>
      <c r="Q61" s="419"/>
      <c r="R61" s="419"/>
      <c r="S61" s="419"/>
      <c r="T61" s="419"/>
      <c r="U61" s="419"/>
      <c r="V61" s="419"/>
      <c r="W61" s="419"/>
      <c r="X61" s="419"/>
    </row>
    <row r="62" spans="1:24" ht="14.25">
      <c r="A62" s="486"/>
      <c r="B62" s="487" t="s">
        <v>818</v>
      </c>
      <c r="L62" s="486"/>
      <c r="M62" s="419"/>
      <c r="N62" s="419"/>
      <c r="O62" s="419"/>
      <c r="P62" s="419"/>
      <c r="Q62" s="419"/>
      <c r="R62" s="419"/>
      <c r="S62" s="419"/>
      <c r="T62" s="419"/>
      <c r="U62" s="419"/>
      <c r="V62" s="419"/>
      <c r="W62" s="419"/>
      <c r="X62" s="419"/>
    </row>
    <row r="63" spans="1:24" ht="14.25">
      <c r="A63" s="486"/>
      <c r="B63" s="487" t="s">
        <v>819</v>
      </c>
      <c r="L63" s="486"/>
      <c r="M63" s="419"/>
      <c r="N63" s="419"/>
      <c r="O63" s="419"/>
      <c r="P63" s="419"/>
      <c r="Q63" s="419"/>
      <c r="R63" s="419"/>
      <c r="S63" s="419"/>
      <c r="T63" s="419"/>
      <c r="U63" s="419"/>
      <c r="V63" s="419"/>
      <c r="W63" s="419"/>
      <c r="X63" s="419"/>
    </row>
    <row r="64" spans="1:24" ht="14.25">
      <c r="A64" s="486"/>
      <c r="L64" s="486"/>
      <c r="M64" s="419"/>
      <c r="N64" s="419"/>
      <c r="O64" s="419"/>
      <c r="P64" s="419"/>
      <c r="Q64" s="419"/>
      <c r="R64" s="419"/>
      <c r="S64" s="419"/>
      <c r="T64" s="419"/>
      <c r="U64" s="419"/>
      <c r="V64" s="419"/>
      <c r="W64" s="419"/>
      <c r="X64" s="419"/>
    </row>
    <row r="65" spans="1:24" ht="14.25">
      <c r="A65" s="486"/>
      <c r="B65" s="487" t="s">
        <v>734</v>
      </c>
      <c r="L65" s="486"/>
      <c r="M65" s="419"/>
      <c r="N65" s="419"/>
      <c r="O65" s="419"/>
      <c r="P65" s="419"/>
      <c r="Q65" s="419"/>
      <c r="R65" s="419"/>
      <c r="S65" s="419"/>
      <c r="T65" s="419"/>
      <c r="U65" s="419"/>
      <c r="V65" s="419"/>
      <c r="W65" s="419"/>
      <c r="X65" s="419"/>
    </row>
    <row r="66" spans="1:24" ht="14.25">
      <c r="A66" s="486"/>
      <c r="B66" s="487" t="s">
        <v>735</v>
      </c>
      <c r="L66" s="486"/>
      <c r="M66" s="419"/>
      <c r="N66" s="419"/>
      <c r="O66" s="419"/>
      <c r="P66" s="419"/>
      <c r="Q66" s="419"/>
      <c r="R66" s="419"/>
      <c r="S66" s="419"/>
      <c r="T66" s="419"/>
      <c r="U66" s="419"/>
      <c r="V66" s="419"/>
      <c r="W66" s="419"/>
      <c r="X66" s="419"/>
    </row>
    <row r="67" spans="1:24" ht="14.25">
      <c r="A67" s="486"/>
      <c r="L67" s="486"/>
      <c r="M67" s="419"/>
      <c r="N67" s="419"/>
      <c r="O67" s="419"/>
      <c r="P67" s="419"/>
      <c r="Q67" s="419"/>
      <c r="R67" s="419"/>
      <c r="S67" s="419"/>
      <c r="T67" s="419"/>
      <c r="U67" s="419"/>
      <c r="V67" s="419"/>
      <c r="W67" s="419"/>
      <c r="X67" s="419"/>
    </row>
    <row r="68" spans="1:24" ht="14.25">
      <c r="A68" s="486"/>
      <c r="B68" s="487" t="s">
        <v>736</v>
      </c>
      <c r="L68" s="486"/>
      <c r="M68" s="472"/>
      <c r="N68" s="420"/>
      <c r="O68" s="420"/>
      <c r="P68" s="420"/>
      <c r="Q68" s="420"/>
      <c r="R68" s="420"/>
      <c r="S68" s="420"/>
      <c r="T68" s="420"/>
      <c r="U68" s="420"/>
      <c r="V68" s="420"/>
      <c r="W68" s="420"/>
      <c r="X68" s="419"/>
    </row>
    <row r="69" spans="1:24" ht="14.25">
      <c r="A69" s="486"/>
      <c r="B69" s="487" t="s">
        <v>820</v>
      </c>
      <c r="L69" s="486"/>
      <c r="M69" s="419"/>
      <c r="N69" s="419"/>
      <c r="O69" s="419"/>
      <c r="P69" s="419"/>
      <c r="Q69" s="419"/>
      <c r="R69" s="419"/>
      <c r="S69" s="419"/>
      <c r="T69" s="419"/>
      <c r="U69" s="419"/>
      <c r="V69" s="419"/>
      <c r="W69" s="419"/>
      <c r="X69" s="419"/>
    </row>
    <row r="70" spans="1:24" ht="14.25">
      <c r="A70" s="486"/>
      <c r="B70" s="487" t="s">
        <v>821</v>
      </c>
      <c r="L70" s="486"/>
      <c r="M70" s="419"/>
      <c r="N70" s="419"/>
      <c r="O70" s="419"/>
      <c r="P70" s="419"/>
      <c r="Q70" s="419"/>
      <c r="R70" s="419"/>
      <c r="S70" s="419"/>
      <c r="T70" s="419"/>
      <c r="U70" s="419"/>
      <c r="V70" s="419"/>
      <c r="W70" s="419"/>
      <c r="X70" s="419"/>
    </row>
    <row r="71" spans="1:12" ht="15" thickBot="1">
      <c r="A71" s="486"/>
      <c r="B71" s="493"/>
      <c r="C71" s="493"/>
      <c r="D71" s="493"/>
      <c r="E71" s="493"/>
      <c r="F71" s="493"/>
      <c r="G71" s="493"/>
      <c r="H71" s="493"/>
      <c r="I71" s="493"/>
      <c r="J71" s="493"/>
      <c r="K71" s="493"/>
      <c r="L71" s="486"/>
    </row>
    <row r="72" spans="1:12" ht="14.25">
      <c r="A72" s="486"/>
      <c r="B72" s="470" t="s">
        <v>710</v>
      </c>
      <c r="C72" s="490"/>
      <c r="D72" s="490"/>
      <c r="E72" s="490"/>
      <c r="F72" s="490"/>
      <c r="G72" s="490"/>
      <c r="H72" s="490"/>
      <c r="I72" s="490"/>
      <c r="J72" s="490"/>
      <c r="K72" s="491"/>
      <c r="L72" s="503"/>
    </row>
    <row r="73" spans="1:12" ht="14.25">
      <c r="A73" s="486"/>
      <c r="B73" s="499"/>
      <c r="C73" s="493" t="s">
        <v>716</v>
      </c>
      <c r="D73" s="493"/>
      <c r="E73" s="493"/>
      <c r="F73" s="493"/>
      <c r="G73" s="493"/>
      <c r="H73" s="493"/>
      <c r="I73" s="493"/>
      <c r="J73" s="493"/>
      <c r="K73" s="494"/>
      <c r="L73" s="503"/>
    </row>
    <row r="74" spans="1:12" ht="14.25">
      <c r="A74" s="486"/>
      <c r="B74" s="499" t="s">
        <v>737</v>
      </c>
      <c r="C74" s="897">
        <v>312000000</v>
      </c>
      <c r="D74" s="897"/>
      <c r="E74" s="556" t="s">
        <v>715</v>
      </c>
      <c r="F74" s="556">
        <v>1000</v>
      </c>
      <c r="G74" s="556" t="s">
        <v>714</v>
      </c>
      <c r="H74" s="687">
        <f>C74/F74</f>
        <v>312000</v>
      </c>
      <c r="I74" s="493" t="s">
        <v>738</v>
      </c>
      <c r="J74" s="493"/>
      <c r="K74" s="494"/>
      <c r="L74" s="503"/>
    </row>
    <row r="75" spans="1:12" ht="14.25">
      <c r="A75" s="486"/>
      <c r="B75" s="499"/>
      <c r="C75" s="493"/>
      <c r="D75" s="493"/>
      <c r="E75" s="556"/>
      <c r="F75" s="493"/>
      <c r="G75" s="493"/>
      <c r="H75" s="493"/>
      <c r="I75" s="493"/>
      <c r="J75" s="493"/>
      <c r="K75" s="494"/>
      <c r="L75" s="503"/>
    </row>
    <row r="76" spans="1:12" ht="14.25">
      <c r="A76" s="486"/>
      <c r="B76" s="499"/>
      <c r="C76" s="493" t="s">
        <v>739</v>
      </c>
      <c r="D76" s="493"/>
      <c r="E76" s="556"/>
      <c r="F76" s="493" t="s">
        <v>738</v>
      </c>
      <c r="G76" s="493"/>
      <c r="H76" s="493"/>
      <c r="I76" s="493"/>
      <c r="J76" s="493"/>
      <c r="K76" s="494"/>
      <c r="L76" s="503"/>
    </row>
    <row r="77" spans="1:12" ht="14.25">
      <c r="A77" s="486"/>
      <c r="B77" s="499" t="s">
        <v>742</v>
      </c>
      <c r="C77" s="897">
        <v>50000</v>
      </c>
      <c r="D77" s="897"/>
      <c r="E77" s="556" t="s">
        <v>715</v>
      </c>
      <c r="F77" s="687">
        <f>H74</f>
        <v>312000</v>
      </c>
      <c r="G77" s="556" t="s">
        <v>714</v>
      </c>
      <c r="H77" s="501">
        <f>C77/F77</f>
        <v>0.16025641025641027</v>
      </c>
      <c r="I77" s="493" t="s">
        <v>740</v>
      </c>
      <c r="J77" s="493"/>
      <c r="K77" s="494"/>
      <c r="L77" s="503"/>
    </row>
    <row r="78" spans="1:12" ht="14.25">
      <c r="A78" s="486"/>
      <c r="B78" s="499"/>
      <c r="C78" s="493"/>
      <c r="D78" s="493"/>
      <c r="E78" s="556"/>
      <c r="F78" s="493"/>
      <c r="G78" s="493"/>
      <c r="H78" s="493"/>
      <c r="I78" s="493"/>
      <c r="J78" s="493"/>
      <c r="K78" s="494"/>
      <c r="L78" s="503"/>
    </row>
    <row r="79" spans="1:12" ht="14.25">
      <c r="A79" s="486"/>
      <c r="B79" s="504"/>
      <c r="C79" s="505" t="s">
        <v>741</v>
      </c>
      <c r="D79" s="505"/>
      <c r="E79" s="557"/>
      <c r="F79" s="505"/>
      <c r="G79" s="505"/>
      <c r="H79" s="505"/>
      <c r="I79" s="505"/>
      <c r="J79" s="505"/>
      <c r="K79" s="506"/>
      <c r="L79" s="503"/>
    </row>
    <row r="80" spans="1:12" ht="14.25">
      <c r="A80" s="486"/>
      <c r="B80" s="499" t="s">
        <v>793</v>
      </c>
      <c r="C80" s="897">
        <v>100000</v>
      </c>
      <c r="D80" s="897"/>
      <c r="E80" s="556" t="s">
        <v>35</v>
      </c>
      <c r="F80" s="556">
        <v>0.115</v>
      </c>
      <c r="G80" s="556" t="s">
        <v>714</v>
      </c>
      <c r="H80" s="555">
        <f>C80*F80</f>
        <v>11500</v>
      </c>
      <c r="I80" s="493" t="s">
        <v>743</v>
      </c>
      <c r="J80" s="493"/>
      <c r="K80" s="494"/>
      <c r="L80" s="503"/>
    </row>
    <row r="81" spans="1:12" ht="14.25">
      <c r="A81" s="486"/>
      <c r="B81" s="499"/>
      <c r="C81" s="493"/>
      <c r="D81" s="493"/>
      <c r="E81" s="556"/>
      <c r="F81" s="493"/>
      <c r="G81" s="493"/>
      <c r="H81" s="493"/>
      <c r="I81" s="493"/>
      <c r="J81" s="493"/>
      <c r="K81" s="494"/>
      <c r="L81" s="503"/>
    </row>
    <row r="82" spans="1:12" ht="14.25">
      <c r="A82" s="486"/>
      <c r="B82" s="504"/>
      <c r="C82" s="505" t="s">
        <v>744</v>
      </c>
      <c r="D82" s="505"/>
      <c r="E82" s="557"/>
      <c r="F82" s="505" t="s">
        <v>740</v>
      </c>
      <c r="G82" s="505"/>
      <c r="H82" s="505"/>
      <c r="I82" s="505"/>
      <c r="J82" s="505" t="s">
        <v>745</v>
      </c>
      <c r="K82" s="506"/>
      <c r="L82" s="503"/>
    </row>
    <row r="83" spans="1:12" ht="14.25">
      <c r="A83" s="486"/>
      <c r="B83" s="499" t="s">
        <v>794</v>
      </c>
      <c r="C83" s="898">
        <f>H80</f>
        <v>11500</v>
      </c>
      <c r="D83" s="898"/>
      <c r="E83" s="556" t="s">
        <v>35</v>
      </c>
      <c r="F83" s="501">
        <f>H77</f>
        <v>0.16025641025641027</v>
      </c>
      <c r="G83" s="556" t="s">
        <v>715</v>
      </c>
      <c r="H83" s="556">
        <v>1000</v>
      </c>
      <c r="I83" s="556" t="s">
        <v>714</v>
      </c>
      <c r="J83" s="558">
        <f>C83*F83/H83</f>
        <v>1.842948717948718</v>
      </c>
      <c r="K83" s="494"/>
      <c r="L83" s="503"/>
    </row>
    <row r="84" spans="1:12" ht="15" thickBot="1">
      <c r="A84" s="486"/>
      <c r="B84" s="495"/>
      <c r="C84" s="507"/>
      <c r="D84" s="507"/>
      <c r="E84" s="508"/>
      <c r="F84" s="509"/>
      <c r="G84" s="508"/>
      <c r="H84" s="508"/>
      <c r="I84" s="508"/>
      <c r="J84" s="510"/>
      <c r="K84" s="497"/>
      <c r="L84" s="503"/>
    </row>
    <row r="85" spans="1:12" ht="40.5" customHeight="1">
      <c r="A85" s="486"/>
      <c r="B85" s="902" t="s">
        <v>706</v>
      </c>
      <c r="C85" s="902"/>
      <c r="D85" s="902"/>
      <c r="E85" s="902"/>
      <c r="F85" s="902"/>
      <c r="G85" s="902"/>
      <c r="H85" s="902"/>
      <c r="I85" s="902"/>
      <c r="J85" s="902"/>
      <c r="K85" s="902"/>
      <c r="L85" s="486"/>
    </row>
    <row r="86" spans="1:12" ht="14.25">
      <c r="A86" s="486"/>
      <c r="B86" s="901" t="s">
        <v>746</v>
      </c>
      <c r="C86" s="901"/>
      <c r="D86" s="901"/>
      <c r="E86" s="901"/>
      <c r="F86" s="901"/>
      <c r="G86" s="901"/>
      <c r="H86" s="901"/>
      <c r="I86" s="901"/>
      <c r="J86" s="901"/>
      <c r="K86" s="901"/>
      <c r="L86" s="486"/>
    </row>
    <row r="87" spans="1:12" ht="14.25">
      <c r="A87" s="486"/>
      <c r="B87" s="511"/>
      <c r="C87" s="511"/>
      <c r="D87" s="511"/>
      <c r="E87" s="511"/>
      <c r="F87" s="511"/>
      <c r="G87" s="511"/>
      <c r="H87" s="511"/>
      <c r="I87" s="511"/>
      <c r="J87" s="511"/>
      <c r="K87" s="511"/>
      <c r="L87" s="486"/>
    </row>
    <row r="88" spans="1:12" ht="14.25">
      <c r="A88" s="486"/>
      <c r="B88" s="901" t="s">
        <v>747</v>
      </c>
      <c r="C88" s="901"/>
      <c r="D88" s="901"/>
      <c r="E88" s="901"/>
      <c r="F88" s="901"/>
      <c r="G88" s="901"/>
      <c r="H88" s="901"/>
      <c r="I88" s="901"/>
      <c r="J88" s="901"/>
      <c r="K88" s="901"/>
      <c r="L88" s="486"/>
    </row>
    <row r="89" spans="1:12" ht="14.25">
      <c r="A89" s="486"/>
      <c r="B89" s="551"/>
      <c r="C89" s="551"/>
      <c r="D89" s="551"/>
      <c r="E89" s="551"/>
      <c r="F89" s="551"/>
      <c r="G89" s="551"/>
      <c r="H89" s="551"/>
      <c r="I89" s="551"/>
      <c r="J89" s="551"/>
      <c r="K89" s="551"/>
      <c r="L89" s="486"/>
    </row>
    <row r="90" spans="1:12" ht="45" customHeight="1">
      <c r="A90" s="486"/>
      <c r="B90" s="907" t="s">
        <v>748</v>
      </c>
      <c r="C90" s="907"/>
      <c r="D90" s="907"/>
      <c r="E90" s="907"/>
      <c r="F90" s="907"/>
      <c r="G90" s="907"/>
      <c r="H90" s="907"/>
      <c r="I90" s="907"/>
      <c r="J90" s="907"/>
      <c r="K90" s="907"/>
      <c r="L90" s="486"/>
    </row>
    <row r="91" spans="1:12" ht="15" customHeight="1" thickBot="1">
      <c r="A91" s="486"/>
      <c r="L91" s="486"/>
    </row>
    <row r="92" spans="1:12" ht="15" customHeight="1">
      <c r="A92" s="486"/>
      <c r="B92" s="473" t="s">
        <v>710</v>
      </c>
      <c r="C92" s="512"/>
      <c r="D92" s="512"/>
      <c r="E92" s="512"/>
      <c r="F92" s="512"/>
      <c r="G92" s="512"/>
      <c r="H92" s="512"/>
      <c r="I92" s="512"/>
      <c r="J92" s="512"/>
      <c r="K92" s="513"/>
      <c r="L92" s="486"/>
    </row>
    <row r="93" spans="1:12" ht="15" customHeight="1">
      <c r="A93" s="486"/>
      <c r="B93" s="514"/>
      <c r="C93" s="553" t="s">
        <v>716</v>
      </c>
      <c r="D93" s="553"/>
      <c r="E93" s="553"/>
      <c r="F93" s="553"/>
      <c r="G93" s="553"/>
      <c r="H93" s="553"/>
      <c r="I93" s="553"/>
      <c r="J93" s="553"/>
      <c r="K93" s="515"/>
      <c r="L93" s="486"/>
    </row>
    <row r="94" spans="1:12" ht="15" customHeight="1">
      <c r="A94" s="486"/>
      <c r="B94" s="514" t="s">
        <v>737</v>
      </c>
      <c r="C94" s="897">
        <v>312000000</v>
      </c>
      <c r="D94" s="897"/>
      <c r="E94" s="556" t="s">
        <v>715</v>
      </c>
      <c r="F94" s="556">
        <v>1000</v>
      </c>
      <c r="G94" s="556" t="s">
        <v>714</v>
      </c>
      <c r="H94" s="687">
        <f>C94/F94</f>
        <v>312000</v>
      </c>
      <c r="I94" s="553" t="s">
        <v>738</v>
      </c>
      <c r="J94" s="553"/>
      <c r="K94" s="515"/>
      <c r="L94" s="486"/>
    </row>
    <row r="95" spans="1:12" ht="15" customHeight="1">
      <c r="A95" s="486"/>
      <c r="B95" s="514"/>
      <c r="C95" s="553"/>
      <c r="D95" s="553"/>
      <c r="E95" s="556"/>
      <c r="F95" s="553"/>
      <c r="G95" s="553"/>
      <c r="H95" s="553"/>
      <c r="I95" s="553"/>
      <c r="J95" s="553"/>
      <c r="K95" s="515"/>
      <c r="L95" s="486"/>
    </row>
    <row r="96" spans="1:12" ht="15" customHeight="1">
      <c r="A96" s="486"/>
      <c r="B96" s="514"/>
      <c r="C96" s="553" t="s">
        <v>739</v>
      </c>
      <c r="D96" s="553"/>
      <c r="E96" s="556"/>
      <c r="F96" s="553" t="s">
        <v>738</v>
      </c>
      <c r="G96" s="553"/>
      <c r="H96" s="553"/>
      <c r="I96" s="553"/>
      <c r="J96" s="553"/>
      <c r="K96" s="515"/>
      <c r="L96" s="486"/>
    </row>
    <row r="97" spans="1:12" ht="15" customHeight="1">
      <c r="A97" s="486"/>
      <c r="B97" s="514" t="s">
        <v>742</v>
      </c>
      <c r="C97" s="897">
        <v>50000</v>
      </c>
      <c r="D97" s="897"/>
      <c r="E97" s="556" t="s">
        <v>715</v>
      </c>
      <c r="F97" s="687">
        <f>H94</f>
        <v>312000</v>
      </c>
      <c r="G97" s="556" t="s">
        <v>714</v>
      </c>
      <c r="H97" s="501">
        <f>C97/F97</f>
        <v>0.16025641025641027</v>
      </c>
      <c r="I97" s="553" t="s">
        <v>740</v>
      </c>
      <c r="J97" s="553"/>
      <c r="K97" s="515"/>
      <c r="L97" s="486"/>
    </row>
    <row r="98" spans="1:12" ht="15" customHeight="1">
      <c r="A98" s="486"/>
      <c r="B98" s="514"/>
      <c r="C98" s="553"/>
      <c r="D98" s="553"/>
      <c r="E98" s="556"/>
      <c r="F98" s="553"/>
      <c r="G98" s="553"/>
      <c r="H98" s="553"/>
      <c r="I98" s="553"/>
      <c r="J98" s="553"/>
      <c r="K98" s="515"/>
      <c r="L98" s="486"/>
    </row>
    <row r="99" spans="1:12" ht="15" customHeight="1">
      <c r="A99" s="486"/>
      <c r="B99" s="516"/>
      <c r="C99" s="517" t="s">
        <v>749</v>
      </c>
      <c r="D99" s="517"/>
      <c r="E99" s="557"/>
      <c r="F99" s="517"/>
      <c r="G99" s="517"/>
      <c r="H99" s="517"/>
      <c r="I99" s="517"/>
      <c r="J99" s="517"/>
      <c r="K99" s="518"/>
      <c r="L99" s="486"/>
    </row>
    <row r="100" spans="1:12" ht="15" customHeight="1">
      <c r="A100" s="486"/>
      <c r="B100" s="514" t="s">
        <v>793</v>
      </c>
      <c r="C100" s="897">
        <v>2500000</v>
      </c>
      <c r="D100" s="897"/>
      <c r="E100" s="556" t="s">
        <v>35</v>
      </c>
      <c r="F100" s="519">
        <v>0.3</v>
      </c>
      <c r="G100" s="556" t="s">
        <v>714</v>
      </c>
      <c r="H100" s="555">
        <f>C100*F100</f>
        <v>750000</v>
      </c>
      <c r="I100" s="553" t="s">
        <v>743</v>
      </c>
      <c r="J100" s="553"/>
      <c r="K100" s="515"/>
      <c r="L100" s="486"/>
    </row>
    <row r="101" spans="1:12" ht="15" customHeight="1">
      <c r="A101" s="486"/>
      <c r="B101" s="514"/>
      <c r="C101" s="553"/>
      <c r="D101" s="553"/>
      <c r="E101" s="556"/>
      <c r="F101" s="553"/>
      <c r="G101" s="553"/>
      <c r="H101" s="553"/>
      <c r="I101" s="553"/>
      <c r="J101" s="553"/>
      <c r="K101" s="515"/>
      <c r="L101" s="486"/>
    </row>
    <row r="102" spans="1:12" ht="15" customHeight="1">
      <c r="A102" s="486"/>
      <c r="B102" s="516"/>
      <c r="C102" s="517" t="s">
        <v>744</v>
      </c>
      <c r="D102" s="517"/>
      <c r="E102" s="557"/>
      <c r="F102" s="517" t="s">
        <v>740</v>
      </c>
      <c r="G102" s="517"/>
      <c r="H102" s="517"/>
      <c r="I102" s="517"/>
      <c r="J102" s="517" t="s">
        <v>745</v>
      </c>
      <c r="K102" s="518"/>
      <c r="L102" s="486"/>
    </row>
    <row r="103" spans="1:12" ht="15" customHeight="1">
      <c r="A103" s="486"/>
      <c r="B103" s="514" t="s">
        <v>794</v>
      </c>
      <c r="C103" s="898">
        <f>H100</f>
        <v>750000</v>
      </c>
      <c r="D103" s="898"/>
      <c r="E103" s="556" t="s">
        <v>35</v>
      </c>
      <c r="F103" s="501">
        <f>H97</f>
        <v>0.16025641025641027</v>
      </c>
      <c r="G103" s="556" t="s">
        <v>715</v>
      </c>
      <c r="H103" s="556">
        <v>1000</v>
      </c>
      <c r="I103" s="556" t="s">
        <v>714</v>
      </c>
      <c r="J103" s="558">
        <f>C103*F103/H103</f>
        <v>120.19230769230771</v>
      </c>
      <c r="K103" s="515"/>
      <c r="L103" s="486"/>
    </row>
    <row r="104" spans="1:12" ht="15" customHeight="1" thickBot="1">
      <c r="A104" s="486"/>
      <c r="B104" s="520"/>
      <c r="C104" s="507"/>
      <c r="D104" s="507"/>
      <c r="E104" s="508"/>
      <c r="F104" s="509"/>
      <c r="G104" s="508"/>
      <c r="H104" s="508"/>
      <c r="I104" s="508"/>
      <c r="J104" s="510"/>
      <c r="K104" s="554"/>
      <c r="L104" s="486"/>
    </row>
    <row r="105" spans="1:12" ht="40.5" customHeight="1">
      <c r="A105" s="486"/>
      <c r="B105" s="902" t="s">
        <v>706</v>
      </c>
      <c r="C105" s="925"/>
      <c r="D105" s="925"/>
      <c r="E105" s="925"/>
      <c r="F105" s="925"/>
      <c r="G105" s="925"/>
      <c r="H105" s="925"/>
      <c r="I105" s="925"/>
      <c r="J105" s="925"/>
      <c r="K105" s="925"/>
      <c r="L105" s="486"/>
    </row>
    <row r="106" spans="1:12" ht="15" customHeight="1">
      <c r="A106" s="486"/>
      <c r="B106" s="926" t="s">
        <v>750</v>
      </c>
      <c r="C106" s="903"/>
      <c r="D106" s="903"/>
      <c r="E106" s="903"/>
      <c r="F106" s="903"/>
      <c r="G106" s="903"/>
      <c r="H106" s="903"/>
      <c r="I106" s="903"/>
      <c r="J106" s="903"/>
      <c r="K106" s="903"/>
      <c r="L106" s="486"/>
    </row>
    <row r="107" spans="1:12" ht="15" customHeight="1">
      <c r="A107" s="486"/>
      <c r="B107" s="553"/>
      <c r="C107" s="521"/>
      <c r="D107" s="521"/>
      <c r="E107" s="556"/>
      <c r="F107" s="501"/>
      <c r="G107" s="556"/>
      <c r="H107" s="556"/>
      <c r="I107" s="556"/>
      <c r="J107" s="558"/>
      <c r="K107" s="553"/>
      <c r="L107" s="486"/>
    </row>
    <row r="108" spans="1:12" ht="15" customHeight="1">
      <c r="A108" s="486"/>
      <c r="B108" s="926" t="s">
        <v>751</v>
      </c>
      <c r="C108" s="927"/>
      <c r="D108" s="927"/>
      <c r="E108" s="927"/>
      <c r="F108" s="927"/>
      <c r="G108" s="927"/>
      <c r="H108" s="927"/>
      <c r="I108" s="927"/>
      <c r="J108" s="927"/>
      <c r="K108" s="927"/>
      <c r="L108" s="486"/>
    </row>
    <row r="109" spans="1:12" ht="15" customHeight="1">
      <c r="A109" s="486"/>
      <c r="B109" s="553"/>
      <c r="C109" s="521"/>
      <c r="D109" s="521"/>
      <c r="E109" s="556"/>
      <c r="F109" s="501"/>
      <c r="G109" s="556"/>
      <c r="H109" s="556"/>
      <c r="I109" s="556"/>
      <c r="J109" s="558"/>
      <c r="K109" s="553"/>
      <c r="L109" s="486"/>
    </row>
    <row r="110" spans="1:12" ht="59.25" customHeight="1">
      <c r="A110" s="486"/>
      <c r="B110" s="899" t="s">
        <v>752</v>
      </c>
      <c r="C110" s="900"/>
      <c r="D110" s="900"/>
      <c r="E110" s="900"/>
      <c r="F110" s="900"/>
      <c r="G110" s="900"/>
      <c r="H110" s="900"/>
      <c r="I110" s="900"/>
      <c r="J110" s="900"/>
      <c r="K110" s="900"/>
      <c r="L110" s="486"/>
    </row>
    <row r="111" spans="1:12" ht="15" thickBot="1">
      <c r="A111" s="486"/>
      <c r="B111" s="552"/>
      <c r="C111" s="552"/>
      <c r="D111" s="552"/>
      <c r="E111" s="552"/>
      <c r="F111" s="552"/>
      <c r="G111" s="552"/>
      <c r="H111" s="552"/>
      <c r="I111" s="552"/>
      <c r="J111" s="552"/>
      <c r="K111" s="552"/>
      <c r="L111" s="522"/>
    </row>
    <row r="112" spans="1:12" ht="14.25">
      <c r="A112" s="486"/>
      <c r="B112" s="470" t="s">
        <v>710</v>
      </c>
      <c r="C112" s="490"/>
      <c r="D112" s="490"/>
      <c r="E112" s="490"/>
      <c r="F112" s="490"/>
      <c r="G112" s="490"/>
      <c r="H112" s="490"/>
      <c r="I112" s="490"/>
      <c r="J112" s="490"/>
      <c r="K112" s="491"/>
      <c r="L112" s="486"/>
    </row>
    <row r="113" spans="1:12" ht="14.25">
      <c r="A113" s="486"/>
      <c r="B113" s="499"/>
      <c r="C113" s="493" t="s">
        <v>716</v>
      </c>
      <c r="D113" s="493"/>
      <c r="E113" s="493"/>
      <c r="F113" s="493"/>
      <c r="G113" s="493"/>
      <c r="H113" s="493"/>
      <c r="I113" s="493"/>
      <c r="J113" s="493"/>
      <c r="K113" s="494"/>
      <c r="L113" s="486"/>
    </row>
    <row r="114" spans="1:12" ht="14.25">
      <c r="A114" s="486"/>
      <c r="B114" s="499" t="s">
        <v>737</v>
      </c>
      <c r="C114" s="897">
        <v>312000000</v>
      </c>
      <c r="D114" s="897"/>
      <c r="E114" s="556" t="s">
        <v>715</v>
      </c>
      <c r="F114" s="556">
        <v>1000</v>
      </c>
      <c r="G114" s="556" t="s">
        <v>714</v>
      </c>
      <c r="H114" s="687">
        <f>C114/F114</f>
        <v>312000</v>
      </c>
      <c r="I114" s="493" t="s">
        <v>738</v>
      </c>
      <c r="J114" s="493"/>
      <c r="K114" s="494"/>
      <c r="L114" s="486"/>
    </row>
    <row r="115" spans="1:12" ht="14.25">
      <c r="A115" s="486"/>
      <c r="B115" s="499"/>
      <c r="C115" s="493"/>
      <c r="D115" s="493"/>
      <c r="E115" s="556"/>
      <c r="F115" s="493"/>
      <c r="G115" s="493"/>
      <c r="H115" s="493"/>
      <c r="I115" s="493"/>
      <c r="J115" s="493"/>
      <c r="K115" s="494"/>
      <c r="L115" s="486"/>
    </row>
    <row r="116" spans="1:12" ht="14.25">
      <c r="A116" s="486"/>
      <c r="B116" s="499"/>
      <c r="C116" s="493" t="s">
        <v>739</v>
      </c>
      <c r="D116" s="493"/>
      <c r="E116" s="556"/>
      <c r="F116" s="493" t="s">
        <v>738</v>
      </c>
      <c r="G116" s="493"/>
      <c r="H116" s="493"/>
      <c r="I116" s="493"/>
      <c r="J116" s="493"/>
      <c r="K116" s="494"/>
      <c r="L116" s="486"/>
    </row>
    <row r="117" spans="1:12" ht="14.25">
      <c r="A117" s="486"/>
      <c r="B117" s="499" t="s">
        <v>742</v>
      </c>
      <c r="C117" s="897">
        <v>50000</v>
      </c>
      <c r="D117" s="897"/>
      <c r="E117" s="556" t="s">
        <v>715</v>
      </c>
      <c r="F117" s="687">
        <f>H114</f>
        <v>312000</v>
      </c>
      <c r="G117" s="556" t="s">
        <v>714</v>
      </c>
      <c r="H117" s="501">
        <f>C117/F117</f>
        <v>0.16025641025641027</v>
      </c>
      <c r="I117" s="493" t="s">
        <v>740</v>
      </c>
      <c r="J117" s="493"/>
      <c r="K117" s="494"/>
      <c r="L117" s="486"/>
    </row>
    <row r="118" spans="1:12" ht="14.25">
      <c r="A118" s="486"/>
      <c r="B118" s="499"/>
      <c r="C118" s="493"/>
      <c r="D118" s="493"/>
      <c r="E118" s="556"/>
      <c r="F118" s="493"/>
      <c r="G118" s="493"/>
      <c r="H118" s="493"/>
      <c r="I118" s="493"/>
      <c r="J118" s="493"/>
      <c r="K118" s="494"/>
      <c r="L118" s="486"/>
    </row>
    <row r="119" spans="1:12" ht="14.25">
      <c r="A119" s="486"/>
      <c r="B119" s="504"/>
      <c r="C119" s="505" t="s">
        <v>749</v>
      </c>
      <c r="D119" s="505"/>
      <c r="E119" s="557"/>
      <c r="F119" s="505"/>
      <c r="G119" s="505"/>
      <c r="H119" s="505"/>
      <c r="I119" s="505"/>
      <c r="J119" s="505"/>
      <c r="K119" s="506"/>
      <c r="L119" s="486"/>
    </row>
    <row r="120" spans="1:12" ht="14.25">
      <c r="A120" s="486"/>
      <c r="B120" s="499" t="s">
        <v>793</v>
      </c>
      <c r="C120" s="897">
        <v>2500000</v>
      </c>
      <c r="D120" s="897"/>
      <c r="E120" s="556" t="s">
        <v>35</v>
      </c>
      <c r="F120" s="519">
        <v>0.25</v>
      </c>
      <c r="G120" s="556" t="s">
        <v>714</v>
      </c>
      <c r="H120" s="555">
        <f>C120*F120</f>
        <v>625000</v>
      </c>
      <c r="I120" s="493" t="s">
        <v>743</v>
      </c>
      <c r="J120" s="493"/>
      <c r="K120" s="494"/>
      <c r="L120" s="486"/>
    </row>
    <row r="121" spans="1:12" ht="14.25">
      <c r="A121" s="486"/>
      <c r="B121" s="499"/>
      <c r="C121" s="493"/>
      <c r="D121" s="493"/>
      <c r="E121" s="556"/>
      <c r="F121" s="493"/>
      <c r="G121" s="493"/>
      <c r="H121" s="493"/>
      <c r="I121" s="493"/>
      <c r="J121" s="493"/>
      <c r="K121" s="494"/>
      <c r="L121" s="486"/>
    </row>
    <row r="122" spans="1:12" ht="14.25">
      <c r="A122" s="486"/>
      <c r="B122" s="504"/>
      <c r="C122" s="505" t="s">
        <v>744</v>
      </c>
      <c r="D122" s="505"/>
      <c r="E122" s="557"/>
      <c r="F122" s="505" t="s">
        <v>740</v>
      </c>
      <c r="G122" s="505"/>
      <c r="H122" s="505"/>
      <c r="I122" s="505"/>
      <c r="J122" s="505" t="s">
        <v>745</v>
      </c>
      <c r="K122" s="506"/>
      <c r="L122" s="486"/>
    </row>
    <row r="123" spans="1:12" ht="14.25">
      <c r="A123" s="486"/>
      <c r="B123" s="499" t="s">
        <v>794</v>
      </c>
      <c r="C123" s="898">
        <f>H120</f>
        <v>625000</v>
      </c>
      <c r="D123" s="898"/>
      <c r="E123" s="556" t="s">
        <v>35</v>
      </c>
      <c r="F123" s="501">
        <f>H117</f>
        <v>0.16025641025641027</v>
      </c>
      <c r="G123" s="556" t="s">
        <v>715</v>
      </c>
      <c r="H123" s="556">
        <v>1000</v>
      </c>
      <c r="I123" s="556" t="s">
        <v>714</v>
      </c>
      <c r="J123" s="558">
        <f>C123*F123/H123</f>
        <v>100.16025641025642</v>
      </c>
      <c r="K123" s="494"/>
      <c r="L123" s="486"/>
    </row>
    <row r="124" spans="1:12" ht="15" thickBot="1">
      <c r="A124" s="486"/>
      <c r="B124" s="495"/>
      <c r="C124" s="507"/>
      <c r="D124" s="507"/>
      <c r="E124" s="508"/>
      <c r="F124" s="509"/>
      <c r="G124" s="508"/>
      <c r="H124" s="508"/>
      <c r="I124" s="508"/>
      <c r="J124" s="510"/>
      <c r="K124" s="497"/>
      <c r="L124" s="486"/>
    </row>
    <row r="125" spans="1:12" ht="40.5" customHeight="1">
      <c r="A125" s="486"/>
      <c r="B125" s="902" t="s">
        <v>706</v>
      </c>
      <c r="C125" s="902"/>
      <c r="D125" s="902"/>
      <c r="E125" s="902"/>
      <c r="F125" s="902"/>
      <c r="G125" s="902"/>
      <c r="H125" s="902"/>
      <c r="I125" s="902"/>
      <c r="J125" s="902"/>
      <c r="K125" s="902"/>
      <c r="L125" s="522"/>
    </row>
    <row r="126" spans="1:12" ht="14.25">
      <c r="A126" s="486"/>
      <c r="B126" s="901" t="s">
        <v>753</v>
      </c>
      <c r="C126" s="901"/>
      <c r="D126" s="901"/>
      <c r="E126" s="901"/>
      <c r="F126" s="901"/>
      <c r="G126" s="901"/>
      <c r="H126" s="901"/>
      <c r="I126" s="901"/>
      <c r="J126" s="901"/>
      <c r="K126" s="901"/>
      <c r="L126" s="522"/>
    </row>
    <row r="127" spans="1:12" ht="14.25">
      <c r="A127" s="486"/>
      <c r="B127" s="552"/>
      <c r="C127" s="552"/>
      <c r="D127" s="552"/>
      <c r="E127" s="552"/>
      <c r="F127" s="552"/>
      <c r="G127" s="552"/>
      <c r="H127" s="552"/>
      <c r="I127" s="552"/>
      <c r="J127" s="552"/>
      <c r="K127" s="552"/>
      <c r="L127" s="522"/>
    </row>
    <row r="128" spans="1:12" ht="14.25">
      <c r="A128" s="486"/>
      <c r="B128" s="901" t="s">
        <v>754</v>
      </c>
      <c r="C128" s="901"/>
      <c r="D128" s="901"/>
      <c r="E128" s="901"/>
      <c r="F128" s="901"/>
      <c r="G128" s="901"/>
      <c r="H128" s="901"/>
      <c r="I128" s="901"/>
      <c r="J128" s="901"/>
      <c r="K128" s="901"/>
      <c r="L128" s="522"/>
    </row>
    <row r="129" spans="1:12" ht="14.25">
      <c r="A129" s="486"/>
      <c r="B129" s="551"/>
      <c r="C129" s="551"/>
      <c r="D129" s="551"/>
      <c r="E129" s="551"/>
      <c r="F129" s="551"/>
      <c r="G129" s="551"/>
      <c r="H129" s="551"/>
      <c r="I129" s="551"/>
      <c r="J129" s="551"/>
      <c r="K129" s="551"/>
      <c r="L129" s="522"/>
    </row>
    <row r="130" spans="1:12" ht="74.25" customHeight="1">
      <c r="A130" s="486"/>
      <c r="B130" s="907" t="s">
        <v>795</v>
      </c>
      <c r="C130" s="907"/>
      <c r="D130" s="907"/>
      <c r="E130" s="907"/>
      <c r="F130" s="907"/>
      <c r="G130" s="907"/>
      <c r="H130" s="907"/>
      <c r="I130" s="907"/>
      <c r="J130" s="907"/>
      <c r="K130" s="907"/>
      <c r="L130" s="522"/>
    </row>
    <row r="131" spans="1:12" ht="15" thickBot="1">
      <c r="A131" s="486"/>
      <c r="L131" s="486"/>
    </row>
    <row r="132" spans="1:12" ht="14.25">
      <c r="A132" s="486"/>
      <c r="B132" s="470" t="s">
        <v>710</v>
      </c>
      <c r="C132" s="490"/>
      <c r="D132" s="490"/>
      <c r="E132" s="490"/>
      <c r="F132" s="490"/>
      <c r="G132" s="490"/>
      <c r="H132" s="490"/>
      <c r="I132" s="490"/>
      <c r="J132" s="490"/>
      <c r="K132" s="491"/>
      <c r="L132" s="486"/>
    </row>
    <row r="133" spans="1:12" ht="14.25">
      <c r="A133" s="486"/>
      <c r="B133" s="499"/>
      <c r="C133" s="918" t="s">
        <v>755</v>
      </c>
      <c r="D133" s="918"/>
      <c r="E133" s="493"/>
      <c r="F133" s="556" t="s">
        <v>756</v>
      </c>
      <c r="G133" s="493"/>
      <c r="H133" s="918" t="s">
        <v>743</v>
      </c>
      <c r="I133" s="918"/>
      <c r="J133" s="493"/>
      <c r="K133" s="494"/>
      <c r="L133" s="486"/>
    </row>
    <row r="134" spans="1:12" ht="14.25">
      <c r="A134" s="486"/>
      <c r="B134" s="499" t="s">
        <v>737</v>
      </c>
      <c r="C134" s="897">
        <v>100000</v>
      </c>
      <c r="D134" s="897"/>
      <c r="E134" s="556" t="s">
        <v>35</v>
      </c>
      <c r="F134" s="556">
        <v>0.115</v>
      </c>
      <c r="G134" s="556" t="s">
        <v>714</v>
      </c>
      <c r="H134" s="919">
        <f>C134*F134</f>
        <v>11500</v>
      </c>
      <c r="I134" s="919"/>
      <c r="J134" s="493"/>
      <c r="K134" s="494"/>
      <c r="L134" s="486"/>
    </row>
    <row r="135" spans="1:12" ht="14.25">
      <c r="A135" s="486"/>
      <c r="B135" s="499"/>
      <c r="C135" s="493"/>
      <c r="D135" s="493"/>
      <c r="E135" s="493"/>
      <c r="F135" s="493"/>
      <c r="G135" s="493"/>
      <c r="H135" s="493"/>
      <c r="I135" s="493"/>
      <c r="J135" s="493"/>
      <c r="K135" s="494"/>
      <c r="L135" s="486"/>
    </row>
    <row r="136" spans="1:12" ht="14.25">
      <c r="A136" s="486"/>
      <c r="B136" s="504"/>
      <c r="C136" s="920" t="s">
        <v>743</v>
      </c>
      <c r="D136" s="920"/>
      <c r="E136" s="505"/>
      <c r="F136" s="557" t="s">
        <v>757</v>
      </c>
      <c r="G136" s="557"/>
      <c r="H136" s="505"/>
      <c r="I136" s="505"/>
      <c r="J136" s="505" t="s">
        <v>758</v>
      </c>
      <c r="K136" s="506"/>
      <c r="L136" s="486"/>
    </row>
    <row r="137" spans="1:12" ht="14.25">
      <c r="A137" s="486"/>
      <c r="B137" s="499" t="s">
        <v>742</v>
      </c>
      <c r="C137" s="919">
        <f>H134</f>
        <v>11500</v>
      </c>
      <c r="D137" s="919"/>
      <c r="E137" s="556" t="s">
        <v>35</v>
      </c>
      <c r="F137" s="523">
        <v>52.869</v>
      </c>
      <c r="G137" s="556" t="s">
        <v>715</v>
      </c>
      <c r="H137" s="556">
        <v>1000</v>
      </c>
      <c r="I137" s="556" t="s">
        <v>714</v>
      </c>
      <c r="J137" s="524">
        <f>C137*F137/H137</f>
        <v>607.9935</v>
      </c>
      <c r="K137" s="494"/>
      <c r="L137" s="486"/>
    </row>
    <row r="138" spans="1:12" ht="15" thickBot="1">
      <c r="A138" s="486"/>
      <c r="B138" s="495"/>
      <c r="C138" s="525"/>
      <c r="D138" s="525"/>
      <c r="E138" s="508"/>
      <c r="F138" s="526"/>
      <c r="G138" s="508"/>
      <c r="H138" s="508"/>
      <c r="I138" s="508"/>
      <c r="J138" s="527"/>
      <c r="K138" s="497"/>
      <c r="L138" s="486"/>
    </row>
    <row r="139" spans="1:12" ht="40.5" customHeight="1">
      <c r="A139" s="486"/>
      <c r="B139" s="474" t="s">
        <v>706</v>
      </c>
      <c r="C139" s="475"/>
      <c r="D139" s="475"/>
      <c r="E139" s="476"/>
      <c r="F139" s="477"/>
      <c r="G139" s="476"/>
      <c r="H139" s="476"/>
      <c r="I139" s="476"/>
      <c r="J139" s="478"/>
      <c r="K139" s="479"/>
      <c r="L139" s="486"/>
    </row>
    <row r="140" spans="1:12" ht="14.25">
      <c r="A140" s="486"/>
      <c r="B140" s="480" t="s">
        <v>796</v>
      </c>
      <c r="C140" s="481"/>
      <c r="D140" s="481"/>
      <c r="E140" s="482"/>
      <c r="F140" s="483"/>
      <c r="G140" s="482"/>
      <c r="H140" s="482"/>
      <c r="I140" s="482"/>
      <c r="J140" s="484"/>
      <c r="K140" s="485"/>
      <c r="L140" s="486"/>
    </row>
    <row r="141" spans="1:12" ht="14.25">
      <c r="A141" s="486"/>
      <c r="B141" s="499"/>
      <c r="C141" s="555"/>
      <c r="D141" s="555"/>
      <c r="E141" s="556"/>
      <c r="F141" s="528"/>
      <c r="G141" s="556"/>
      <c r="H141" s="556"/>
      <c r="I141" s="556"/>
      <c r="J141" s="524"/>
      <c r="K141" s="494"/>
      <c r="L141" s="486"/>
    </row>
    <row r="142" spans="1:12" ht="14.25">
      <c r="A142" s="486"/>
      <c r="B142" s="480" t="s">
        <v>797</v>
      </c>
      <c r="C142" s="481"/>
      <c r="D142" s="481"/>
      <c r="E142" s="482"/>
      <c r="F142" s="483"/>
      <c r="G142" s="482"/>
      <c r="H142" s="482"/>
      <c r="I142" s="482"/>
      <c r="J142" s="484"/>
      <c r="K142" s="485"/>
      <c r="L142" s="486"/>
    </row>
    <row r="143" spans="1:12" ht="14.25">
      <c r="A143" s="486"/>
      <c r="B143" s="499"/>
      <c r="C143" s="555"/>
      <c r="D143" s="555"/>
      <c r="E143" s="556"/>
      <c r="F143" s="528"/>
      <c r="G143" s="556"/>
      <c r="H143" s="556"/>
      <c r="I143" s="556"/>
      <c r="J143" s="524"/>
      <c r="K143" s="494"/>
      <c r="L143" s="486"/>
    </row>
    <row r="144" spans="1:12" ht="76.5" customHeight="1">
      <c r="A144" s="486"/>
      <c r="B144" s="921" t="s">
        <v>798</v>
      </c>
      <c r="C144" s="922"/>
      <c r="D144" s="922"/>
      <c r="E144" s="922"/>
      <c r="F144" s="922"/>
      <c r="G144" s="922"/>
      <c r="H144" s="922"/>
      <c r="I144" s="922"/>
      <c r="J144" s="922"/>
      <c r="K144" s="923"/>
      <c r="L144" s="486"/>
    </row>
    <row r="145" spans="1:12" ht="15" thickBot="1">
      <c r="A145" s="486"/>
      <c r="B145" s="499"/>
      <c r="C145" s="555"/>
      <c r="D145" s="555"/>
      <c r="E145" s="556"/>
      <c r="F145" s="528"/>
      <c r="G145" s="556"/>
      <c r="H145" s="556"/>
      <c r="I145" s="556"/>
      <c r="J145" s="524"/>
      <c r="K145" s="494"/>
      <c r="L145" s="486"/>
    </row>
    <row r="146" spans="1:12" ht="14.25">
      <c r="A146" s="486"/>
      <c r="B146" s="470" t="s">
        <v>710</v>
      </c>
      <c r="C146" s="529"/>
      <c r="D146" s="529"/>
      <c r="E146" s="530"/>
      <c r="F146" s="531"/>
      <c r="G146" s="530"/>
      <c r="H146" s="530"/>
      <c r="I146" s="530"/>
      <c r="J146" s="532"/>
      <c r="K146" s="491"/>
      <c r="L146" s="486"/>
    </row>
    <row r="147" spans="1:12" ht="14.25">
      <c r="A147" s="486"/>
      <c r="B147" s="499"/>
      <c r="C147" s="919" t="s">
        <v>799</v>
      </c>
      <c r="D147" s="919"/>
      <c r="E147" s="556"/>
      <c r="F147" s="528" t="s">
        <v>800</v>
      </c>
      <c r="G147" s="556"/>
      <c r="H147" s="556"/>
      <c r="I147" s="556"/>
      <c r="J147" s="916" t="s">
        <v>801</v>
      </c>
      <c r="K147" s="924"/>
      <c r="L147" s="486"/>
    </row>
    <row r="148" spans="1:12" ht="14.25">
      <c r="A148" s="486"/>
      <c r="B148" s="499"/>
      <c r="C148" s="915">
        <v>52.869</v>
      </c>
      <c r="D148" s="915"/>
      <c r="E148" s="556" t="s">
        <v>35</v>
      </c>
      <c r="F148" s="550">
        <v>312000000</v>
      </c>
      <c r="G148" s="533" t="s">
        <v>715</v>
      </c>
      <c r="H148" s="556">
        <v>1000</v>
      </c>
      <c r="I148" s="556" t="s">
        <v>714</v>
      </c>
      <c r="J148" s="916">
        <f>C148*(F148/1000)</f>
        <v>16495128</v>
      </c>
      <c r="K148" s="917"/>
      <c r="L148" s="486"/>
    </row>
    <row r="149" spans="1:12" ht="15" thickBot="1">
      <c r="A149" s="486"/>
      <c r="B149" s="495"/>
      <c r="C149" s="525"/>
      <c r="D149" s="525"/>
      <c r="E149" s="508"/>
      <c r="F149" s="526"/>
      <c r="G149" s="508"/>
      <c r="H149" s="508"/>
      <c r="I149" s="508"/>
      <c r="J149" s="527"/>
      <c r="K149" s="497"/>
      <c r="L149" s="486"/>
    </row>
    <row r="150" spans="1:12" ht="15" thickBot="1">
      <c r="A150" s="486"/>
      <c r="B150" s="495"/>
      <c r="C150" s="496"/>
      <c r="D150" s="496"/>
      <c r="E150" s="496"/>
      <c r="F150" s="496"/>
      <c r="G150" s="496"/>
      <c r="H150" s="496"/>
      <c r="I150" s="496"/>
      <c r="J150" s="496"/>
      <c r="K150" s="497"/>
      <c r="L150" s="486"/>
    </row>
    <row r="151" spans="1:12" ht="14.25">
      <c r="A151" s="486"/>
      <c r="B151" s="486"/>
      <c r="C151" s="486"/>
      <c r="D151" s="486"/>
      <c r="E151" s="486"/>
      <c r="F151" s="486"/>
      <c r="G151" s="486"/>
      <c r="H151" s="486"/>
      <c r="I151" s="486"/>
      <c r="J151" s="486"/>
      <c r="K151" s="486"/>
      <c r="L151" s="486"/>
    </row>
    <row r="152" spans="1:12" ht="14.25">
      <c r="A152" s="486"/>
      <c r="B152" s="486"/>
      <c r="C152" s="486"/>
      <c r="D152" s="486"/>
      <c r="E152" s="486"/>
      <c r="F152" s="486"/>
      <c r="G152" s="486"/>
      <c r="H152" s="486"/>
      <c r="I152" s="486"/>
      <c r="J152" s="486"/>
      <c r="K152" s="486"/>
      <c r="L152" s="486"/>
    </row>
    <row r="153" spans="1:12" ht="14.25">
      <c r="A153" s="486"/>
      <c r="B153" s="486"/>
      <c r="C153" s="486"/>
      <c r="D153" s="486"/>
      <c r="E153" s="486"/>
      <c r="F153" s="486"/>
      <c r="G153" s="486"/>
      <c r="H153" s="486"/>
      <c r="I153" s="486"/>
      <c r="J153" s="486"/>
      <c r="K153" s="486"/>
      <c r="L153" s="486"/>
    </row>
    <row r="154" spans="1:12" ht="14.25">
      <c r="A154" s="534"/>
      <c r="B154" s="534"/>
      <c r="C154" s="534"/>
      <c r="D154" s="534"/>
      <c r="E154" s="534"/>
      <c r="F154" s="534"/>
      <c r="G154" s="534"/>
      <c r="H154" s="534"/>
      <c r="I154" s="534"/>
      <c r="J154" s="534"/>
      <c r="K154" s="534"/>
      <c r="L154" s="534"/>
    </row>
    <row r="155" spans="1:12" ht="14.25">
      <c r="A155" s="534"/>
      <c r="B155" s="534"/>
      <c r="C155" s="534"/>
      <c r="D155" s="534"/>
      <c r="E155" s="534"/>
      <c r="F155" s="534"/>
      <c r="G155" s="534"/>
      <c r="H155" s="534"/>
      <c r="I155" s="534"/>
      <c r="J155" s="534"/>
      <c r="K155" s="534"/>
      <c r="L155" s="534"/>
    </row>
    <row r="156" spans="1:12" ht="14.25">
      <c r="A156" s="534"/>
      <c r="B156" s="534"/>
      <c r="C156" s="534"/>
      <c r="D156" s="534"/>
      <c r="E156" s="534"/>
      <c r="F156" s="534"/>
      <c r="G156" s="534"/>
      <c r="H156" s="534"/>
      <c r="I156" s="534"/>
      <c r="J156" s="534"/>
      <c r="K156" s="534"/>
      <c r="L156" s="534"/>
    </row>
    <row r="157" spans="1:12" ht="14.25">
      <c r="A157" s="534"/>
      <c r="B157" s="534"/>
      <c r="C157" s="534"/>
      <c r="D157" s="534"/>
      <c r="E157" s="534"/>
      <c r="F157" s="534"/>
      <c r="G157" s="534"/>
      <c r="H157" s="534"/>
      <c r="I157" s="534"/>
      <c r="J157" s="534"/>
      <c r="K157" s="534"/>
      <c r="L157" s="534"/>
    </row>
    <row r="158" spans="1:12" ht="14.25">
      <c r="A158" s="534"/>
      <c r="B158" s="534"/>
      <c r="C158" s="534"/>
      <c r="D158" s="534"/>
      <c r="E158" s="534"/>
      <c r="F158" s="534"/>
      <c r="G158" s="534"/>
      <c r="H158" s="534"/>
      <c r="I158" s="534"/>
      <c r="J158" s="534"/>
      <c r="K158" s="534"/>
      <c r="L158" s="534"/>
    </row>
    <row r="159" spans="1:12" ht="14.25">
      <c r="A159" s="534"/>
      <c r="B159" s="534"/>
      <c r="C159" s="534"/>
      <c r="D159" s="534"/>
      <c r="E159" s="534"/>
      <c r="F159" s="534"/>
      <c r="G159" s="534"/>
      <c r="H159" s="534"/>
      <c r="I159" s="534"/>
      <c r="J159" s="534"/>
      <c r="K159" s="534"/>
      <c r="L159" s="534"/>
    </row>
    <row r="160" spans="1:12" ht="14.25">
      <c r="A160" s="534"/>
      <c r="B160" s="534"/>
      <c r="C160" s="534"/>
      <c r="D160" s="534"/>
      <c r="E160" s="534"/>
      <c r="F160" s="534"/>
      <c r="G160" s="534"/>
      <c r="H160" s="534"/>
      <c r="I160" s="534"/>
      <c r="J160" s="534"/>
      <c r="K160" s="534"/>
      <c r="L160" s="534"/>
    </row>
    <row r="161" spans="1:12" ht="14.25">
      <c r="A161" s="534"/>
      <c r="B161" s="534"/>
      <c r="C161" s="534"/>
      <c r="D161" s="534"/>
      <c r="E161" s="534"/>
      <c r="F161" s="534"/>
      <c r="G161" s="534"/>
      <c r="H161" s="534"/>
      <c r="I161" s="534"/>
      <c r="J161" s="534"/>
      <c r="K161" s="534"/>
      <c r="L161" s="534"/>
    </row>
    <row r="162" spans="1:12" ht="14.25">
      <c r="A162" s="534"/>
      <c r="B162" s="534"/>
      <c r="C162" s="534"/>
      <c r="D162" s="534"/>
      <c r="E162" s="534"/>
      <c r="F162" s="534"/>
      <c r="G162" s="534"/>
      <c r="H162" s="534"/>
      <c r="I162" s="534"/>
      <c r="J162" s="534"/>
      <c r="K162" s="534"/>
      <c r="L162" s="534"/>
    </row>
    <row r="163" spans="1:12" ht="14.25">
      <c r="A163" s="534"/>
      <c r="B163" s="534"/>
      <c r="C163" s="534"/>
      <c r="D163" s="534"/>
      <c r="E163" s="534"/>
      <c r="F163" s="534"/>
      <c r="G163" s="534"/>
      <c r="H163" s="534"/>
      <c r="I163" s="534"/>
      <c r="J163" s="534"/>
      <c r="K163" s="534"/>
      <c r="L163" s="534"/>
    </row>
    <row r="164" spans="1:12" ht="14.25">
      <c r="A164" s="534"/>
      <c r="B164" s="534"/>
      <c r="C164" s="534"/>
      <c r="D164" s="534"/>
      <c r="E164" s="534"/>
      <c r="F164" s="534"/>
      <c r="G164" s="534"/>
      <c r="H164" s="534"/>
      <c r="I164" s="534"/>
      <c r="J164" s="534"/>
      <c r="K164" s="534"/>
      <c r="L164" s="534"/>
    </row>
    <row r="165" spans="1:12" ht="14.25">
      <c r="A165" s="534"/>
      <c r="B165" s="534"/>
      <c r="C165" s="534"/>
      <c r="D165" s="534"/>
      <c r="E165" s="534"/>
      <c r="F165" s="534"/>
      <c r="G165" s="534"/>
      <c r="H165" s="534"/>
      <c r="I165" s="534"/>
      <c r="J165" s="534"/>
      <c r="K165" s="534"/>
      <c r="L165" s="534"/>
    </row>
    <row r="166" spans="1:12" ht="14.25">
      <c r="A166" s="534"/>
      <c r="B166" s="534"/>
      <c r="C166" s="534"/>
      <c r="D166" s="534"/>
      <c r="E166" s="534"/>
      <c r="F166" s="534"/>
      <c r="G166" s="534"/>
      <c r="H166" s="534"/>
      <c r="I166" s="534"/>
      <c r="J166" s="534"/>
      <c r="K166" s="534"/>
      <c r="L166" s="534"/>
    </row>
    <row r="167" spans="1:12" ht="14.25">
      <c r="A167" s="534"/>
      <c r="B167" s="534"/>
      <c r="C167" s="534"/>
      <c r="D167" s="534"/>
      <c r="E167" s="534"/>
      <c r="F167" s="534"/>
      <c r="G167" s="534"/>
      <c r="H167" s="534"/>
      <c r="I167" s="534"/>
      <c r="J167" s="534"/>
      <c r="K167" s="534"/>
      <c r="L167" s="534"/>
    </row>
    <row r="168" spans="1:12" ht="14.25">
      <c r="A168" s="534"/>
      <c r="B168" s="534"/>
      <c r="C168" s="534"/>
      <c r="D168" s="534"/>
      <c r="E168" s="534"/>
      <c r="F168" s="534"/>
      <c r="G168" s="534"/>
      <c r="H168" s="534"/>
      <c r="I168" s="534"/>
      <c r="J168" s="534"/>
      <c r="K168" s="534"/>
      <c r="L168" s="534"/>
    </row>
    <row r="169" spans="1:12" ht="14.25">
      <c r="A169" s="534"/>
      <c r="B169" s="534"/>
      <c r="C169" s="534"/>
      <c r="D169" s="534"/>
      <c r="E169" s="534"/>
      <c r="F169" s="534"/>
      <c r="G169" s="534"/>
      <c r="H169" s="534"/>
      <c r="I169" s="534"/>
      <c r="J169" s="534"/>
      <c r="K169" s="534"/>
      <c r="L169" s="534"/>
    </row>
    <row r="170" spans="1:12" ht="14.25">
      <c r="A170" s="534"/>
      <c r="B170" s="534"/>
      <c r="C170" s="534"/>
      <c r="D170" s="534"/>
      <c r="E170" s="534"/>
      <c r="F170" s="534"/>
      <c r="G170" s="534"/>
      <c r="H170" s="534"/>
      <c r="I170" s="534"/>
      <c r="J170" s="534"/>
      <c r="K170" s="534"/>
      <c r="L170" s="534"/>
    </row>
    <row r="171" spans="1:12" ht="14.25">
      <c r="A171" s="534"/>
      <c r="B171" s="534"/>
      <c r="C171" s="534"/>
      <c r="D171" s="534"/>
      <c r="E171" s="534"/>
      <c r="F171" s="534"/>
      <c r="G171" s="534"/>
      <c r="H171" s="534"/>
      <c r="I171" s="534"/>
      <c r="J171" s="534"/>
      <c r="K171" s="534"/>
      <c r="L171" s="534"/>
    </row>
    <row r="172" spans="1:12" ht="14.25">
      <c r="A172" s="534"/>
      <c r="B172" s="534"/>
      <c r="C172" s="534"/>
      <c r="D172" s="534"/>
      <c r="E172" s="534"/>
      <c r="F172" s="534"/>
      <c r="G172" s="534"/>
      <c r="H172" s="534"/>
      <c r="I172" s="534"/>
      <c r="J172" s="534"/>
      <c r="K172" s="534"/>
      <c r="L172" s="534"/>
    </row>
    <row r="173" spans="1:12" ht="14.25">
      <c r="A173" s="534"/>
      <c r="B173" s="534"/>
      <c r="C173" s="534"/>
      <c r="D173" s="534"/>
      <c r="E173" s="534"/>
      <c r="F173" s="534"/>
      <c r="G173" s="534"/>
      <c r="H173" s="534"/>
      <c r="I173" s="534"/>
      <c r="J173" s="534"/>
      <c r="K173" s="534"/>
      <c r="L173" s="534"/>
    </row>
    <row r="174" spans="1:12" ht="14.25">
      <c r="A174" s="534"/>
      <c r="B174" s="534"/>
      <c r="C174" s="534"/>
      <c r="D174" s="534"/>
      <c r="E174" s="534"/>
      <c r="F174" s="534"/>
      <c r="G174" s="534"/>
      <c r="H174" s="534"/>
      <c r="I174" s="534"/>
      <c r="J174" s="534"/>
      <c r="K174" s="534"/>
      <c r="L174" s="534"/>
    </row>
    <row r="175" spans="1:12" ht="14.25">
      <c r="A175" s="534"/>
      <c r="B175" s="534"/>
      <c r="C175" s="534"/>
      <c r="D175" s="534"/>
      <c r="E175" s="534"/>
      <c r="F175" s="534"/>
      <c r="G175" s="534"/>
      <c r="H175" s="534"/>
      <c r="I175" s="534"/>
      <c r="J175" s="534"/>
      <c r="K175" s="534"/>
      <c r="L175" s="534"/>
    </row>
    <row r="176" spans="1:12" ht="14.25">
      <c r="A176" s="534"/>
      <c r="B176" s="534"/>
      <c r="C176" s="534"/>
      <c r="D176" s="534"/>
      <c r="E176" s="534"/>
      <c r="F176" s="534"/>
      <c r="G176" s="534"/>
      <c r="H176" s="534"/>
      <c r="I176" s="534"/>
      <c r="J176" s="534"/>
      <c r="K176" s="534"/>
      <c r="L176" s="534"/>
    </row>
    <row r="177" spans="1:12" ht="14.25">
      <c r="A177" s="534"/>
      <c r="B177" s="534"/>
      <c r="C177" s="534"/>
      <c r="D177" s="534"/>
      <c r="E177" s="534"/>
      <c r="F177" s="534"/>
      <c r="G177" s="534"/>
      <c r="H177" s="534"/>
      <c r="I177" s="534"/>
      <c r="J177" s="534"/>
      <c r="K177" s="534"/>
      <c r="L177" s="534"/>
    </row>
    <row r="178" spans="1:12" ht="14.25">
      <c r="A178" s="534"/>
      <c r="B178" s="534"/>
      <c r="C178" s="534"/>
      <c r="D178" s="534"/>
      <c r="E178" s="534"/>
      <c r="F178" s="534"/>
      <c r="G178" s="534"/>
      <c r="H178" s="534"/>
      <c r="I178" s="534"/>
      <c r="J178" s="534"/>
      <c r="K178" s="534"/>
      <c r="L178" s="534"/>
    </row>
    <row r="179" spans="1:12" ht="14.25">
      <c r="A179" s="534"/>
      <c r="B179" s="534"/>
      <c r="C179" s="534"/>
      <c r="D179" s="534"/>
      <c r="E179" s="534"/>
      <c r="F179" s="534"/>
      <c r="G179" s="534"/>
      <c r="H179" s="534"/>
      <c r="I179" s="534"/>
      <c r="J179" s="534"/>
      <c r="K179" s="534"/>
      <c r="L179" s="534"/>
    </row>
    <row r="180" spans="1:12" ht="14.25">
      <c r="A180" s="534"/>
      <c r="B180" s="534"/>
      <c r="C180" s="534"/>
      <c r="D180" s="534"/>
      <c r="E180" s="534"/>
      <c r="F180" s="534"/>
      <c r="G180" s="534"/>
      <c r="H180" s="534"/>
      <c r="I180" s="534"/>
      <c r="J180" s="534"/>
      <c r="K180" s="534"/>
      <c r="L180" s="534"/>
    </row>
    <row r="181" spans="1:12" ht="14.25">
      <c r="A181" s="534"/>
      <c r="B181" s="534"/>
      <c r="C181" s="534"/>
      <c r="D181" s="534"/>
      <c r="E181" s="534"/>
      <c r="F181" s="534"/>
      <c r="G181" s="534"/>
      <c r="H181" s="534"/>
      <c r="I181" s="534"/>
      <c r="J181" s="534"/>
      <c r="K181" s="534"/>
      <c r="L181" s="534"/>
    </row>
    <row r="182" spans="1:12" ht="14.25">
      <c r="A182" s="534"/>
      <c r="B182" s="534"/>
      <c r="C182" s="534"/>
      <c r="D182" s="534"/>
      <c r="E182" s="534"/>
      <c r="F182" s="534"/>
      <c r="G182" s="534"/>
      <c r="H182" s="534"/>
      <c r="I182" s="534"/>
      <c r="J182" s="534"/>
      <c r="K182" s="534"/>
      <c r="L182" s="534"/>
    </row>
    <row r="183" spans="1:12" ht="14.25">
      <c r="A183" s="534"/>
      <c r="B183" s="534"/>
      <c r="C183" s="534"/>
      <c r="D183" s="534"/>
      <c r="E183" s="534"/>
      <c r="F183" s="534"/>
      <c r="G183" s="534"/>
      <c r="H183" s="534"/>
      <c r="I183" s="534"/>
      <c r="J183" s="534"/>
      <c r="K183" s="534"/>
      <c r="L183" s="534"/>
    </row>
    <row r="184" spans="1:12" ht="14.25">
      <c r="A184" s="534"/>
      <c r="B184" s="534"/>
      <c r="C184" s="534"/>
      <c r="D184" s="534"/>
      <c r="E184" s="534"/>
      <c r="F184" s="534"/>
      <c r="G184" s="534"/>
      <c r="H184" s="534"/>
      <c r="I184" s="534"/>
      <c r="J184" s="534"/>
      <c r="K184" s="534"/>
      <c r="L184" s="534"/>
    </row>
    <row r="185" spans="1:12" ht="14.25">
      <c r="A185" s="534"/>
      <c r="B185" s="534"/>
      <c r="C185" s="534"/>
      <c r="D185" s="534"/>
      <c r="E185" s="534"/>
      <c r="F185" s="534"/>
      <c r="G185" s="534"/>
      <c r="H185" s="534"/>
      <c r="I185" s="534"/>
      <c r="J185" s="534"/>
      <c r="K185" s="534"/>
      <c r="L185" s="534"/>
    </row>
    <row r="186" spans="1:12" ht="14.25">
      <c r="A186" s="534"/>
      <c r="B186" s="534"/>
      <c r="C186" s="534"/>
      <c r="D186" s="534"/>
      <c r="E186" s="534"/>
      <c r="F186" s="534"/>
      <c r="G186" s="534"/>
      <c r="H186" s="534"/>
      <c r="I186" s="534"/>
      <c r="J186" s="534"/>
      <c r="K186" s="534"/>
      <c r="L186" s="534"/>
    </row>
    <row r="187" spans="1:12" ht="14.25">
      <c r="A187" s="534"/>
      <c r="B187" s="534"/>
      <c r="C187" s="534"/>
      <c r="D187" s="534"/>
      <c r="E187" s="534"/>
      <c r="F187" s="534"/>
      <c r="G187" s="534"/>
      <c r="H187" s="534"/>
      <c r="I187" s="534"/>
      <c r="J187" s="534"/>
      <c r="K187" s="534"/>
      <c r="L187" s="534"/>
    </row>
    <row r="188" spans="1:12" ht="14.25">
      <c r="A188" s="534"/>
      <c r="B188" s="534"/>
      <c r="C188" s="534"/>
      <c r="D188" s="534"/>
      <c r="E188" s="534"/>
      <c r="F188" s="534"/>
      <c r="G188" s="534"/>
      <c r="H188" s="534"/>
      <c r="I188" s="534"/>
      <c r="J188" s="534"/>
      <c r="K188" s="534"/>
      <c r="L188" s="534"/>
    </row>
    <row r="189" spans="1:12" ht="14.25">
      <c r="A189" s="534"/>
      <c r="B189" s="534"/>
      <c r="C189" s="534"/>
      <c r="D189" s="534"/>
      <c r="E189" s="534"/>
      <c r="F189" s="534"/>
      <c r="G189" s="534"/>
      <c r="H189" s="534"/>
      <c r="I189" s="534"/>
      <c r="J189" s="534"/>
      <c r="K189" s="534"/>
      <c r="L189" s="534"/>
    </row>
    <row r="190" spans="1:12" ht="14.25">
      <c r="A190" s="534"/>
      <c r="B190" s="534"/>
      <c r="C190" s="534"/>
      <c r="D190" s="534"/>
      <c r="E190" s="534"/>
      <c r="F190" s="534"/>
      <c r="G190" s="534"/>
      <c r="H190" s="534"/>
      <c r="I190" s="534"/>
      <c r="J190" s="534"/>
      <c r="K190" s="534"/>
      <c r="L190" s="534"/>
    </row>
    <row r="191" spans="1:12" ht="14.25">
      <c r="A191" s="534"/>
      <c r="B191" s="534"/>
      <c r="C191" s="534"/>
      <c r="D191" s="534"/>
      <c r="E191" s="534"/>
      <c r="F191" s="534"/>
      <c r="G191" s="534"/>
      <c r="H191" s="534"/>
      <c r="I191" s="534"/>
      <c r="J191" s="534"/>
      <c r="K191" s="534"/>
      <c r="L191" s="534"/>
    </row>
    <row r="192" spans="1:12" ht="14.25">
      <c r="A192" s="534"/>
      <c r="B192" s="534"/>
      <c r="C192" s="534"/>
      <c r="D192" s="534"/>
      <c r="E192" s="534"/>
      <c r="F192" s="534"/>
      <c r="G192" s="534"/>
      <c r="H192" s="534"/>
      <c r="I192" s="534"/>
      <c r="J192" s="534"/>
      <c r="K192" s="534"/>
      <c r="L192" s="534"/>
    </row>
    <row r="193" spans="1:12" ht="14.25">
      <c r="A193" s="534"/>
      <c r="B193" s="534"/>
      <c r="C193" s="534"/>
      <c r="D193" s="534"/>
      <c r="E193" s="534"/>
      <c r="F193" s="534"/>
      <c r="G193" s="534"/>
      <c r="H193" s="534"/>
      <c r="I193" s="534"/>
      <c r="J193" s="534"/>
      <c r="K193" s="534"/>
      <c r="L193" s="534"/>
    </row>
    <row r="194" spans="1:12" ht="14.25">
      <c r="A194" s="534"/>
      <c r="B194" s="534"/>
      <c r="C194" s="534"/>
      <c r="D194" s="534"/>
      <c r="E194" s="534"/>
      <c r="F194" s="534"/>
      <c r="G194" s="534"/>
      <c r="H194" s="534"/>
      <c r="I194" s="534"/>
      <c r="J194" s="534"/>
      <c r="K194" s="534"/>
      <c r="L194" s="534"/>
    </row>
    <row r="195" spans="1:12" ht="14.25">
      <c r="A195" s="534"/>
      <c r="B195" s="534"/>
      <c r="C195" s="534"/>
      <c r="D195" s="534"/>
      <c r="E195" s="534"/>
      <c r="F195" s="534"/>
      <c r="G195" s="534"/>
      <c r="H195" s="534"/>
      <c r="I195" s="534"/>
      <c r="J195" s="534"/>
      <c r="K195" s="534"/>
      <c r="L195" s="534"/>
    </row>
    <row r="196" spans="1:12" ht="14.25">
      <c r="A196" s="534"/>
      <c r="B196" s="534"/>
      <c r="C196" s="534"/>
      <c r="D196" s="534"/>
      <c r="E196" s="534"/>
      <c r="F196" s="534"/>
      <c r="G196" s="534"/>
      <c r="H196" s="534"/>
      <c r="I196" s="534"/>
      <c r="J196" s="534"/>
      <c r="K196" s="534"/>
      <c r="L196" s="534"/>
    </row>
    <row r="197" spans="1:12" ht="14.25">
      <c r="A197" s="534"/>
      <c r="B197" s="534"/>
      <c r="C197" s="534"/>
      <c r="D197" s="534"/>
      <c r="E197" s="534"/>
      <c r="F197" s="534"/>
      <c r="G197" s="534"/>
      <c r="H197" s="534"/>
      <c r="I197" s="534"/>
      <c r="J197" s="534"/>
      <c r="K197" s="534"/>
      <c r="L197" s="534"/>
    </row>
    <row r="198" spans="1:12" ht="14.25">
      <c r="A198" s="534"/>
      <c r="B198" s="534"/>
      <c r="C198" s="534"/>
      <c r="D198" s="534"/>
      <c r="E198" s="534"/>
      <c r="F198" s="534"/>
      <c r="G198" s="534"/>
      <c r="H198" s="534"/>
      <c r="I198" s="534"/>
      <c r="J198" s="534"/>
      <c r="K198" s="534"/>
      <c r="L198" s="534"/>
    </row>
    <row r="199" spans="1:12" ht="14.25">
      <c r="A199" s="534"/>
      <c r="B199" s="534"/>
      <c r="C199" s="534"/>
      <c r="D199" s="534"/>
      <c r="E199" s="534"/>
      <c r="F199" s="534"/>
      <c r="G199" s="534"/>
      <c r="H199" s="534"/>
      <c r="I199" s="534"/>
      <c r="J199" s="534"/>
      <c r="K199" s="534"/>
      <c r="L199" s="534"/>
    </row>
    <row r="200" spans="1:12" ht="14.25">
      <c r="A200" s="534"/>
      <c r="B200" s="534"/>
      <c r="C200" s="534"/>
      <c r="D200" s="534"/>
      <c r="E200" s="534"/>
      <c r="F200" s="534"/>
      <c r="G200" s="534"/>
      <c r="H200" s="534"/>
      <c r="I200" s="534"/>
      <c r="J200" s="534"/>
      <c r="K200" s="534"/>
      <c r="L200" s="534"/>
    </row>
    <row r="201" spans="1:12" ht="14.25">
      <c r="A201" s="534"/>
      <c r="B201" s="534"/>
      <c r="C201" s="534"/>
      <c r="D201" s="534"/>
      <c r="E201" s="534"/>
      <c r="F201" s="534"/>
      <c r="G201" s="534"/>
      <c r="H201" s="534"/>
      <c r="I201" s="534"/>
      <c r="J201" s="534"/>
      <c r="K201" s="534"/>
      <c r="L201" s="534"/>
    </row>
    <row r="202" spans="1:12" ht="14.25">
      <c r="A202" s="534"/>
      <c r="B202" s="534"/>
      <c r="C202" s="534"/>
      <c r="D202" s="534"/>
      <c r="E202" s="534"/>
      <c r="F202" s="534"/>
      <c r="G202" s="534"/>
      <c r="H202" s="534"/>
      <c r="I202" s="534"/>
      <c r="J202" s="534"/>
      <c r="K202" s="534"/>
      <c r="L202" s="534"/>
    </row>
    <row r="203" spans="1:12" ht="14.25">
      <c r="A203" s="534"/>
      <c r="B203" s="534"/>
      <c r="C203" s="534"/>
      <c r="D203" s="534"/>
      <c r="E203" s="534"/>
      <c r="F203" s="534"/>
      <c r="G203" s="534"/>
      <c r="H203" s="534"/>
      <c r="I203" s="534"/>
      <c r="J203" s="534"/>
      <c r="K203" s="534"/>
      <c r="L203" s="534"/>
    </row>
    <row r="204" spans="1:12" ht="14.25">
      <c r="A204" s="534"/>
      <c r="B204" s="534"/>
      <c r="C204" s="534"/>
      <c r="D204" s="534"/>
      <c r="E204" s="534"/>
      <c r="F204" s="534"/>
      <c r="G204" s="534"/>
      <c r="H204" s="534"/>
      <c r="I204" s="534"/>
      <c r="J204" s="534"/>
      <c r="K204" s="534"/>
      <c r="L204" s="534"/>
    </row>
    <row r="205" spans="1:12" ht="14.25">
      <c r="A205" s="534"/>
      <c r="B205" s="534"/>
      <c r="C205" s="534"/>
      <c r="D205" s="534"/>
      <c r="E205" s="534"/>
      <c r="F205" s="534"/>
      <c r="G205" s="534"/>
      <c r="H205" s="534"/>
      <c r="I205" s="534"/>
      <c r="J205" s="534"/>
      <c r="K205" s="534"/>
      <c r="L205" s="534"/>
    </row>
    <row r="206" spans="1:12" ht="14.25">
      <c r="A206" s="534"/>
      <c r="B206" s="534"/>
      <c r="C206" s="534"/>
      <c r="D206" s="534"/>
      <c r="E206" s="534"/>
      <c r="F206" s="534"/>
      <c r="G206" s="534"/>
      <c r="H206" s="534"/>
      <c r="I206" s="534"/>
      <c r="J206" s="534"/>
      <c r="K206" s="534"/>
      <c r="L206" s="534"/>
    </row>
    <row r="207" spans="1:12" ht="14.25">
      <c r="A207" s="534"/>
      <c r="B207" s="534"/>
      <c r="C207" s="534"/>
      <c r="D207" s="534"/>
      <c r="E207" s="534"/>
      <c r="F207" s="534"/>
      <c r="G207" s="534"/>
      <c r="H207" s="534"/>
      <c r="I207" s="534"/>
      <c r="J207" s="534"/>
      <c r="K207" s="534"/>
      <c r="L207" s="534"/>
    </row>
    <row r="208" spans="1:12" ht="14.25">
      <c r="A208" s="534"/>
      <c r="B208" s="534"/>
      <c r="C208" s="534"/>
      <c r="D208" s="534"/>
      <c r="E208" s="534"/>
      <c r="F208" s="534"/>
      <c r="G208" s="534"/>
      <c r="H208" s="534"/>
      <c r="I208" s="534"/>
      <c r="J208" s="534"/>
      <c r="K208" s="534"/>
      <c r="L208" s="534"/>
    </row>
    <row r="209" spans="1:12" ht="14.25">
      <c r="A209" s="534"/>
      <c r="B209" s="534"/>
      <c r="C209" s="534"/>
      <c r="D209" s="534"/>
      <c r="E209" s="534"/>
      <c r="F209" s="534"/>
      <c r="G209" s="534"/>
      <c r="H209" s="534"/>
      <c r="I209" s="534"/>
      <c r="J209" s="534"/>
      <c r="K209" s="534"/>
      <c r="L209" s="534"/>
    </row>
    <row r="210" spans="1:12" ht="14.25">
      <c r="A210" s="534"/>
      <c r="B210" s="534"/>
      <c r="C210" s="534"/>
      <c r="D210" s="534"/>
      <c r="E210" s="534"/>
      <c r="F210" s="534"/>
      <c r="G210" s="534"/>
      <c r="H210" s="534"/>
      <c r="I210" s="534"/>
      <c r="J210" s="534"/>
      <c r="K210" s="534"/>
      <c r="L210" s="534"/>
    </row>
    <row r="211" spans="1:12" ht="14.25">
      <c r="A211" s="534"/>
      <c r="B211" s="534"/>
      <c r="C211" s="534"/>
      <c r="D211" s="534"/>
      <c r="E211" s="534"/>
      <c r="F211" s="534"/>
      <c r="G211" s="534"/>
      <c r="H211" s="534"/>
      <c r="I211" s="534"/>
      <c r="J211" s="534"/>
      <c r="K211" s="534"/>
      <c r="L211" s="534"/>
    </row>
    <row r="212" spans="1:12" ht="14.25">
      <c r="A212" s="534"/>
      <c r="B212" s="534"/>
      <c r="C212" s="534"/>
      <c r="D212" s="534"/>
      <c r="E212" s="534"/>
      <c r="F212" s="534"/>
      <c r="G212" s="534"/>
      <c r="H212" s="534"/>
      <c r="I212" s="534"/>
      <c r="J212" s="534"/>
      <c r="K212" s="534"/>
      <c r="L212" s="534"/>
    </row>
    <row r="213" spans="1:12" ht="14.25">
      <c r="A213" s="534"/>
      <c r="B213" s="534"/>
      <c r="C213" s="534"/>
      <c r="D213" s="534"/>
      <c r="E213" s="534"/>
      <c r="F213" s="534"/>
      <c r="G213" s="534"/>
      <c r="H213" s="534"/>
      <c r="I213" s="534"/>
      <c r="J213" s="534"/>
      <c r="K213" s="534"/>
      <c r="L213" s="534"/>
    </row>
    <row r="214" spans="1:12" ht="14.25">
      <c r="A214" s="534"/>
      <c r="B214" s="534"/>
      <c r="C214" s="534"/>
      <c r="D214" s="534"/>
      <c r="E214" s="534"/>
      <c r="F214" s="534"/>
      <c r="G214" s="534"/>
      <c r="H214" s="534"/>
      <c r="I214" s="534"/>
      <c r="J214" s="534"/>
      <c r="K214" s="534"/>
      <c r="L214" s="534"/>
    </row>
    <row r="215" spans="1:12" ht="14.25">
      <c r="A215" s="534"/>
      <c r="B215" s="534"/>
      <c r="C215" s="534"/>
      <c r="D215" s="534"/>
      <c r="E215" s="534"/>
      <c r="F215" s="534"/>
      <c r="G215" s="534"/>
      <c r="H215" s="534"/>
      <c r="I215" s="534"/>
      <c r="J215" s="534"/>
      <c r="K215" s="534"/>
      <c r="L215" s="534"/>
    </row>
    <row r="216" spans="1:12" ht="14.25">
      <c r="A216" s="534"/>
      <c r="B216" s="534"/>
      <c r="C216" s="534"/>
      <c r="D216" s="534"/>
      <c r="E216" s="534"/>
      <c r="F216" s="534"/>
      <c r="G216" s="534"/>
      <c r="H216" s="534"/>
      <c r="I216" s="534"/>
      <c r="J216" s="534"/>
      <c r="K216" s="534"/>
      <c r="L216" s="534"/>
    </row>
    <row r="217" spans="1:12" ht="14.25">
      <c r="A217" s="534"/>
      <c r="B217" s="534"/>
      <c r="C217" s="534"/>
      <c r="D217" s="534"/>
      <c r="E217" s="534"/>
      <c r="F217" s="534"/>
      <c r="G217" s="534"/>
      <c r="H217" s="534"/>
      <c r="I217" s="534"/>
      <c r="J217" s="534"/>
      <c r="K217" s="534"/>
      <c r="L217" s="534"/>
    </row>
    <row r="218" spans="1:12" ht="14.25">
      <c r="A218" s="534"/>
      <c r="B218" s="534"/>
      <c r="C218" s="534"/>
      <c r="D218" s="534"/>
      <c r="E218" s="534"/>
      <c r="F218" s="534"/>
      <c r="G218" s="534"/>
      <c r="H218" s="534"/>
      <c r="I218" s="534"/>
      <c r="J218" s="534"/>
      <c r="K218" s="534"/>
      <c r="L218" s="534"/>
    </row>
    <row r="219" spans="1:12" ht="14.25">
      <c r="A219" s="534"/>
      <c r="B219" s="534"/>
      <c r="C219" s="534"/>
      <c r="D219" s="534"/>
      <c r="E219" s="534"/>
      <c r="F219" s="534"/>
      <c r="G219" s="534"/>
      <c r="H219" s="534"/>
      <c r="I219" s="534"/>
      <c r="J219" s="534"/>
      <c r="K219" s="534"/>
      <c r="L219" s="534"/>
    </row>
    <row r="220" spans="1:12" ht="14.25">
      <c r="A220" s="534"/>
      <c r="B220" s="534"/>
      <c r="C220" s="534"/>
      <c r="D220" s="534"/>
      <c r="E220" s="534"/>
      <c r="F220" s="534"/>
      <c r="G220" s="534"/>
      <c r="H220" s="534"/>
      <c r="I220" s="534"/>
      <c r="J220" s="534"/>
      <c r="K220" s="534"/>
      <c r="L220" s="534"/>
    </row>
    <row r="221" spans="1:12" ht="14.25">
      <c r="A221" s="534"/>
      <c r="B221" s="534"/>
      <c r="C221" s="534"/>
      <c r="D221" s="534"/>
      <c r="E221" s="534"/>
      <c r="F221" s="534"/>
      <c r="G221" s="534"/>
      <c r="H221" s="534"/>
      <c r="I221" s="534"/>
      <c r="J221" s="534"/>
      <c r="K221" s="534"/>
      <c r="L221" s="534"/>
    </row>
    <row r="222" spans="1:12" ht="14.25">
      <c r="A222" s="534"/>
      <c r="B222" s="534"/>
      <c r="C222" s="534"/>
      <c r="D222" s="534"/>
      <c r="E222" s="534"/>
      <c r="F222" s="534"/>
      <c r="G222" s="534"/>
      <c r="H222" s="534"/>
      <c r="I222" s="534"/>
      <c r="J222" s="534"/>
      <c r="K222" s="534"/>
      <c r="L222" s="534"/>
    </row>
    <row r="223" spans="1:12" ht="14.25">
      <c r="A223" s="534"/>
      <c r="B223" s="534"/>
      <c r="C223" s="534"/>
      <c r="D223" s="534"/>
      <c r="E223" s="534"/>
      <c r="F223" s="534"/>
      <c r="G223" s="534"/>
      <c r="H223" s="534"/>
      <c r="I223" s="534"/>
      <c r="J223" s="534"/>
      <c r="K223" s="534"/>
      <c r="L223" s="534"/>
    </row>
    <row r="224" spans="1:12" ht="14.25">
      <c r="A224" s="534"/>
      <c r="B224" s="534"/>
      <c r="C224" s="534"/>
      <c r="D224" s="534"/>
      <c r="E224" s="534"/>
      <c r="F224" s="534"/>
      <c r="G224" s="534"/>
      <c r="H224" s="534"/>
      <c r="I224" s="534"/>
      <c r="J224" s="534"/>
      <c r="K224" s="534"/>
      <c r="L224" s="534"/>
    </row>
    <row r="225" spans="1:12" ht="14.25">
      <c r="A225" s="534"/>
      <c r="B225" s="534"/>
      <c r="C225" s="534"/>
      <c r="D225" s="534"/>
      <c r="E225" s="534"/>
      <c r="F225" s="534"/>
      <c r="G225" s="534"/>
      <c r="H225" s="534"/>
      <c r="I225" s="534"/>
      <c r="J225" s="534"/>
      <c r="K225" s="534"/>
      <c r="L225" s="534"/>
    </row>
    <row r="226" spans="1:12" ht="14.25">
      <c r="A226" s="534"/>
      <c r="B226" s="534"/>
      <c r="C226" s="534"/>
      <c r="D226" s="534"/>
      <c r="E226" s="534"/>
      <c r="F226" s="534"/>
      <c r="G226" s="534"/>
      <c r="H226" s="534"/>
      <c r="I226" s="534"/>
      <c r="J226" s="534"/>
      <c r="K226" s="534"/>
      <c r="L226" s="534"/>
    </row>
    <row r="227" spans="1:12" ht="14.25">
      <c r="A227" s="534"/>
      <c r="B227" s="534"/>
      <c r="C227" s="534"/>
      <c r="D227" s="534"/>
      <c r="E227" s="534"/>
      <c r="F227" s="534"/>
      <c r="G227" s="534"/>
      <c r="H227" s="534"/>
      <c r="I227" s="534"/>
      <c r="J227" s="534"/>
      <c r="K227" s="534"/>
      <c r="L227" s="534"/>
    </row>
    <row r="228" spans="1:12" ht="14.25">
      <c r="A228" s="534"/>
      <c r="B228" s="534"/>
      <c r="C228" s="534"/>
      <c r="D228" s="534"/>
      <c r="E228" s="534"/>
      <c r="F228" s="534"/>
      <c r="G228" s="534"/>
      <c r="H228" s="534"/>
      <c r="I228" s="534"/>
      <c r="J228" s="534"/>
      <c r="K228" s="534"/>
      <c r="L228" s="534"/>
    </row>
    <row r="229" spans="1:12" ht="14.25">
      <c r="A229" s="534"/>
      <c r="B229" s="534"/>
      <c r="C229" s="534"/>
      <c r="D229" s="534"/>
      <c r="E229" s="534"/>
      <c r="F229" s="534"/>
      <c r="G229" s="534"/>
      <c r="H229" s="534"/>
      <c r="I229" s="534"/>
      <c r="J229" s="534"/>
      <c r="K229" s="534"/>
      <c r="L229" s="534"/>
    </row>
    <row r="230" spans="1:12" ht="14.25">
      <c r="A230" s="534"/>
      <c r="B230" s="534"/>
      <c r="C230" s="534"/>
      <c r="D230" s="534"/>
      <c r="E230" s="534"/>
      <c r="F230" s="534"/>
      <c r="G230" s="534"/>
      <c r="H230" s="534"/>
      <c r="I230" s="534"/>
      <c r="J230" s="534"/>
      <c r="K230" s="534"/>
      <c r="L230" s="534"/>
    </row>
    <row r="231" spans="1:12" ht="14.25">
      <c r="A231" s="534"/>
      <c r="B231" s="534"/>
      <c r="C231" s="534"/>
      <c r="D231" s="534"/>
      <c r="E231" s="534"/>
      <c r="F231" s="534"/>
      <c r="G231" s="534"/>
      <c r="H231" s="534"/>
      <c r="I231" s="534"/>
      <c r="J231" s="534"/>
      <c r="K231" s="534"/>
      <c r="L231" s="534"/>
    </row>
    <row r="232" spans="1:12" ht="14.25">
      <c r="A232" s="534"/>
      <c r="B232" s="534"/>
      <c r="C232" s="534"/>
      <c r="D232" s="534"/>
      <c r="E232" s="534"/>
      <c r="F232" s="534"/>
      <c r="G232" s="534"/>
      <c r="H232" s="534"/>
      <c r="I232" s="534"/>
      <c r="J232" s="534"/>
      <c r="K232" s="534"/>
      <c r="L232" s="534"/>
    </row>
    <row r="233" spans="1:12" ht="14.25">
      <c r="A233" s="534"/>
      <c r="B233" s="534"/>
      <c r="C233" s="534"/>
      <c r="D233" s="534"/>
      <c r="E233" s="534"/>
      <c r="F233" s="534"/>
      <c r="G233" s="534"/>
      <c r="H233" s="534"/>
      <c r="I233" s="534"/>
      <c r="J233" s="534"/>
      <c r="K233" s="534"/>
      <c r="L233" s="534"/>
    </row>
    <row r="234" spans="1:12" ht="14.25">
      <c r="A234" s="534"/>
      <c r="B234" s="534"/>
      <c r="C234" s="534"/>
      <c r="D234" s="534"/>
      <c r="E234" s="534"/>
      <c r="F234" s="534"/>
      <c r="G234" s="534"/>
      <c r="H234" s="534"/>
      <c r="I234" s="534"/>
      <c r="J234" s="534"/>
      <c r="K234" s="534"/>
      <c r="L234" s="534"/>
    </row>
    <row r="235" spans="1:12" ht="14.25">
      <c r="A235" s="534"/>
      <c r="B235" s="534"/>
      <c r="C235" s="534"/>
      <c r="D235" s="534"/>
      <c r="E235" s="534"/>
      <c r="F235" s="534"/>
      <c r="G235" s="534"/>
      <c r="H235" s="534"/>
      <c r="I235" s="534"/>
      <c r="J235" s="534"/>
      <c r="K235" s="534"/>
      <c r="L235" s="534"/>
    </row>
    <row r="236" spans="1:12" ht="14.25">
      <c r="A236" s="534"/>
      <c r="B236" s="534"/>
      <c r="C236" s="534"/>
      <c r="D236" s="534"/>
      <c r="E236" s="534"/>
      <c r="F236" s="534"/>
      <c r="G236" s="534"/>
      <c r="H236" s="534"/>
      <c r="I236" s="534"/>
      <c r="J236" s="534"/>
      <c r="K236" s="534"/>
      <c r="L236" s="534"/>
    </row>
    <row r="237" spans="1:12" ht="14.25">
      <c r="A237" s="534"/>
      <c r="B237" s="534"/>
      <c r="C237" s="534"/>
      <c r="D237" s="534"/>
      <c r="E237" s="534"/>
      <c r="F237" s="534"/>
      <c r="G237" s="534"/>
      <c r="H237" s="534"/>
      <c r="I237" s="534"/>
      <c r="J237" s="534"/>
      <c r="K237" s="534"/>
      <c r="L237" s="534"/>
    </row>
    <row r="238" spans="1:12" ht="14.25">
      <c r="A238" s="534"/>
      <c r="B238" s="534"/>
      <c r="C238" s="534"/>
      <c r="D238" s="534"/>
      <c r="E238" s="534"/>
      <c r="F238" s="534"/>
      <c r="G238" s="534"/>
      <c r="H238" s="534"/>
      <c r="I238" s="534"/>
      <c r="J238" s="534"/>
      <c r="K238" s="534"/>
      <c r="L238" s="534"/>
    </row>
    <row r="239" spans="1:12" ht="14.25">
      <c r="A239" s="534"/>
      <c r="B239" s="534"/>
      <c r="C239" s="534"/>
      <c r="D239" s="534"/>
      <c r="E239" s="534"/>
      <c r="F239" s="534"/>
      <c r="G239" s="534"/>
      <c r="H239" s="534"/>
      <c r="I239" s="534"/>
      <c r="J239" s="534"/>
      <c r="K239" s="534"/>
      <c r="L239" s="534"/>
    </row>
    <row r="240" spans="1:12" ht="14.25">
      <c r="A240" s="534"/>
      <c r="B240" s="534"/>
      <c r="C240" s="534"/>
      <c r="D240" s="534"/>
      <c r="E240" s="534"/>
      <c r="F240" s="534"/>
      <c r="G240" s="534"/>
      <c r="H240" s="534"/>
      <c r="I240" s="534"/>
      <c r="J240" s="534"/>
      <c r="K240" s="534"/>
      <c r="L240" s="534"/>
    </row>
    <row r="241" spans="1:12" ht="14.25">
      <c r="A241" s="534"/>
      <c r="B241" s="534"/>
      <c r="C241" s="534"/>
      <c r="D241" s="534"/>
      <c r="E241" s="534"/>
      <c r="F241" s="534"/>
      <c r="G241" s="534"/>
      <c r="H241" s="534"/>
      <c r="I241" s="534"/>
      <c r="J241" s="534"/>
      <c r="K241" s="534"/>
      <c r="L241" s="534"/>
    </row>
    <row r="242" spans="1:12" ht="14.25">
      <c r="A242" s="534"/>
      <c r="B242" s="534"/>
      <c r="C242" s="534"/>
      <c r="D242" s="534"/>
      <c r="E242" s="534"/>
      <c r="F242" s="534"/>
      <c r="G242" s="534"/>
      <c r="H242" s="534"/>
      <c r="I242" s="534"/>
      <c r="J242" s="534"/>
      <c r="K242" s="534"/>
      <c r="L242" s="534"/>
    </row>
    <row r="243" spans="1:12" ht="14.25">
      <c r="A243" s="534"/>
      <c r="B243" s="534"/>
      <c r="C243" s="534"/>
      <c r="D243" s="534"/>
      <c r="E243" s="534"/>
      <c r="F243" s="534"/>
      <c r="G243" s="534"/>
      <c r="H243" s="534"/>
      <c r="I243" s="534"/>
      <c r="J243" s="534"/>
      <c r="K243" s="534"/>
      <c r="L243" s="534"/>
    </row>
    <row r="244" spans="1:12" ht="14.25">
      <c r="A244" s="534"/>
      <c r="B244" s="534"/>
      <c r="C244" s="534"/>
      <c r="D244" s="534"/>
      <c r="E244" s="534"/>
      <c r="F244" s="534"/>
      <c r="G244" s="534"/>
      <c r="H244" s="534"/>
      <c r="I244" s="534"/>
      <c r="J244" s="534"/>
      <c r="K244" s="534"/>
      <c r="L244" s="534"/>
    </row>
    <row r="245" spans="1:12" ht="14.25">
      <c r="A245" s="534"/>
      <c r="B245" s="534"/>
      <c r="C245" s="534"/>
      <c r="D245" s="534"/>
      <c r="E245" s="534"/>
      <c r="F245" s="534"/>
      <c r="G245" s="534"/>
      <c r="H245" s="534"/>
      <c r="I245" s="534"/>
      <c r="J245" s="534"/>
      <c r="K245" s="534"/>
      <c r="L245" s="534"/>
    </row>
    <row r="246" spans="1:12" ht="14.25">
      <c r="A246" s="534"/>
      <c r="B246" s="534"/>
      <c r="C246" s="534"/>
      <c r="D246" s="534"/>
      <c r="E246" s="534"/>
      <c r="F246" s="534"/>
      <c r="G246" s="534"/>
      <c r="H246" s="534"/>
      <c r="I246" s="534"/>
      <c r="J246" s="534"/>
      <c r="K246" s="534"/>
      <c r="L246" s="534"/>
    </row>
    <row r="247" spans="1:12" ht="14.25">
      <c r="A247" s="534"/>
      <c r="B247" s="534"/>
      <c r="C247" s="534"/>
      <c r="D247" s="534"/>
      <c r="E247" s="534"/>
      <c r="F247" s="534"/>
      <c r="G247" s="534"/>
      <c r="H247" s="534"/>
      <c r="I247" s="534"/>
      <c r="J247" s="534"/>
      <c r="K247" s="534"/>
      <c r="L247" s="534"/>
    </row>
    <row r="248" spans="1:12" ht="14.25">
      <c r="A248" s="534"/>
      <c r="B248" s="534"/>
      <c r="C248" s="534"/>
      <c r="D248" s="534"/>
      <c r="E248" s="534"/>
      <c r="F248" s="534"/>
      <c r="G248" s="534"/>
      <c r="H248" s="534"/>
      <c r="I248" s="534"/>
      <c r="J248" s="534"/>
      <c r="K248" s="534"/>
      <c r="L248" s="534"/>
    </row>
    <row r="249" spans="1:12" ht="14.25">
      <c r="A249" s="534"/>
      <c r="B249" s="534"/>
      <c r="C249" s="534"/>
      <c r="D249" s="534"/>
      <c r="E249" s="534"/>
      <c r="F249" s="534"/>
      <c r="G249" s="534"/>
      <c r="H249" s="534"/>
      <c r="I249" s="534"/>
      <c r="J249" s="534"/>
      <c r="K249" s="534"/>
      <c r="L249" s="534"/>
    </row>
    <row r="250" spans="1:12" ht="14.25">
      <c r="A250" s="534"/>
      <c r="B250" s="534"/>
      <c r="C250" s="534"/>
      <c r="D250" s="534"/>
      <c r="E250" s="534"/>
      <c r="F250" s="534"/>
      <c r="G250" s="534"/>
      <c r="H250" s="534"/>
      <c r="I250" s="534"/>
      <c r="J250" s="534"/>
      <c r="K250" s="534"/>
      <c r="L250" s="534"/>
    </row>
    <row r="251" spans="1:12" ht="14.25">
      <c r="A251" s="534"/>
      <c r="B251" s="534"/>
      <c r="C251" s="534"/>
      <c r="D251" s="534"/>
      <c r="E251" s="534"/>
      <c r="F251" s="534"/>
      <c r="G251" s="534"/>
      <c r="H251" s="534"/>
      <c r="I251" s="534"/>
      <c r="J251" s="534"/>
      <c r="K251" s="534"/>
      <c r="L251" s="534"/>
    </row>
    <row r="252" spans="1:12" ht="14.25">
      <c r="A252" s="534"/>
      <c r="B252" s="534"/>
      <c r="C252" s="534"/>
      <c r="D252" s="534"/>
      <c r="E252" s="534"/>
      <c r="F252" s="534"/>
      <c r="G252" s="534"/>
      <c r="H252" s="534"/>
      <c r="I252" s="534"/>
      <c r="J252" s="534"/>
      <c r="K252" s="534"/>
      <c r="L252" s="534"/>
    </row>
    <row r="253" spans="1:12" ht="14.25">
      <c r="A253" s="534"/>
      <c r="B253" s="534"/>
      <c r="C253" s="534"/>
      <c r="D253" s="534"/>
      <c r="E253" s="534"/>
      <c r="F253" s="534"/>
      <c r="G253" s="534"/>
      <c r="H253" s="534"/>
      <c r="I253" s="534"/>
      <c r="J253" s="534"/>
      <c r="K253" s="534"/>
      <c r="L253" s="534"/>
    </row>
    <row r="254" spans="1:12" ht="14.25">
      <c r="A254" s="534"/>
      <c r="B254" s="534"/>
      <c r="C254" s="534"/>
      <c r="D254" s="534"/>
      <c r="E254" s="534"/>
      <c r="F254" s="534"/>
      <c r="G254" s="534"/>
      <c r="H254" s="534"/>
      <c r="I254" s="534"/>
      <c r="J254" s="534"/>
      <c r="K254" s="534"/>
      <c r="L254" s="534"/>
    </row>
    <row r="255" spans="1:12" ht="14.25">
      <c r="A255" s="534"/>
      <c r="B255" s="534"/>
      <c r="C255" s="534"/>
      <c r="D255" s="534"/>
      <c r="E255" s="534"/>
      <c r="F255" s="534"/>
      <c r="G255" s="534"/>
      <c r="H255" s="534"/>
      <c r="I255" s="534"/>
      <c r="J255" s="534"/>
      <c r="K255" s="534"/>
      <c r="L255" s="534"/>
    </row>
    <row r="256" spans="1:12" ht="14.25">
      <c r="A256" s="534"/>
      <c r="B256" s="534"/>
      <c r="C256" s="534"/>
      <c r="D256" s="534"/>
      <c r="E256" s="534"/>
      <c r="F256" s="534"/>
      <c r="G256" s="534"/>
      <c r="H256" s="534"/>
      <c r="I256" s="534"/>
      <c r="J256" s="534"/>
      <c r="K256" s="534"/>
      <c r="L256" s="534"/>
    </row>
    <row r="257" spans="1:12" ht="14.25">
      <c r="A257" s="534"/>
      <c r="B257" s="534"/>
      <c r="C257" s="534"/>
      <c r="D257" s="534"/>
      <c r="E257" s="534"/>
      <c r="F257" s="534"/>
      <c r="G257" s="534"/>
      <c r="H257" s="534"/>
      <c r="I257" s="534"/>
      <c r="J257" s="534"/>
      <c r="K257" s="534"/>
      <c r="L257" s="534"/>
    </row>
    <row r="258" spans="1:12" ht="14.25">
      <c r="A258" s="534"/>
      <c r="B258" s="534"/>
      <c r="C258" s="534"/>
      <c r="D258" s="534"/>
      <c r="E258" s="534"/>
      <c r="F258" s="534"/>
      <c r="G258" s="534"/>
      <c r="H258" s="534"/>
      <c r="I258" s="534"/>
      <c r="J258" s="534"/>
      <c r="K258" s="534"/>
      <c r="L258" s="534"/>
    </row>
    <row r="259" spans="1:12" ht="14.25">
      <c r="A259" s="534"/>
      <c r="B259" s="534"/>
      <c r="C259" s="534"/>
      <c r="D259" s="534"/>
      <c r="E259" s="534"/>
      <c r="F259" s="534"/>
      <c r="G259" s="534"/>
      <c r="H259" s="534"/>
      <c r="I259" s="534"/>
      <c r="J259" s="534"/>
      <c r="K259" s="534"/>
      <c r="L259" s="534"/>
    </row>
    <row r="260" spans="1:12" ht="14.25">
      <c r="A260" s="534"/>
      <c r="B260" s="534"/>
      <c r="C260" s="534"/>
      <c r="D260" s="534"/>
      <c r="E260" s="534"/>
      <c r="F260" s="534"/>
      <c r="G260" s="534"/>
      <c r="H260" s="534"/>
      <c r="I260" s="534"/>
      <c r="J260" s="534"/>
      <c r="K260" s="534"/>
      <c r="L260" s="534"/>
    </row>
    <row r="261" spans="1:12" ht="14.25">
      <c r="A261" s="534"/>
      <c r="B261" s="534"/>
      <c r="C261" s="534"/>
      <c r="D261" s="534"/>
      <c r="E261" s="534"/>
      <c r="F261" s="534"/>
      <c r="G261" s="534"/>
      <c r="H261" s="534"/>
      <c r="I261" s="534"/>
      <c r="J261" s="534"/>
      <c r="K261" s="534"/>
      <c r="L261" s="534"/>
    </row>
    <row r="262" spans="1:12" ht="14.25">
      <c r="A262" s="534"/>
      <c r="B262" s="534"/>
      <c r="C262" s="534"/>
      <c r="D262" s="534"/>
      <c r="E262" s="534"/>
      <c r="F262" s="534"/>
      <c r="G262" s="534"/>
      <c r="H262" s="534"/>
      <c r="I262" s="534"/>
      <c r="J262" s="534"/>
      <c r="K262" s="534"/>
      <c r="L262" s="534"/>
    </row>
    <row r="263" spans="1:12" ht="14.25">
      <c r="A263" s="534"/>
      <c r="B263" s="534"/>
      <c r="C263" s="534"/>
      <c r="D263" s="534"/>
      <c r="E263" s="534"/>
      <c r="F263" s="534"/>
      <c r="G263" s="534"/>
      <c r="H263" s="534"/>
      <c r="I263" s="534"/>
      <c r="J263" s="534"/>
      <c r="K263" s="534"/>
      <c r="L263" s="534"/>
    </row>
    <row r="264" spans="1:12" ht="14.25">
      <c r="A264" s="534"/>
      <c r="B264" s="534"/>
      <c r="C264" s="534"/>
      <c r="D264" s="534"/>
      <c r="E264" s="534"/>
      <c r="F264" s="534"/>
      <c r="G264" s="534"/>
      <c r="H264" s="534"/>
      <c r="I264" s="534"/>
      <c r="J264" s="534"/>
      <c r="K264" s="534"/>
      <c r="L264" s="534"/>
    </row>
    <row r="265" spans="1:12" ht="14.25">
      <c r="A265" s="534"/>
      <c r="B265" s="534"/>
      <c r="C265" s="534"/>
      <c r="D265" s="534"/>
      <c r="E265" s="534"/>
      <c r="F265" s="534"/>
      <c r="G265" s="534"/>
      <c r="H265" s="534"/>
      <c r="I265" s="534"/>
      <c r="J265" s="534"/>
      <c r="K265" s="534"/>
      <c r="L265" s="534"/>
    </row>
    <row r="266" spans="1:12" ht="14.25">
      <c r="A266" s="534"/>
      <c r="B266" s="534"/>
      <c r="C266" s="534"/>
      <c r="D266" s="534"/>
      <c r="E266" s="534"/>
      <c r="F266" s="534"/>
      <c r="G266" s="534"/>
      <c r="H266" s="534"/>
      <c r="I266" s="534"/>
      <c r="J266" s="534"/>
      <c r="K266" s="534"/>
      <c r="L266" s="534"/>
    </row>
    <row r="267" spans="1:12" ht="14.25">
      <c r="A267" s="534"/>
      <c r="B267" s="534"/>
      <c r="C267" s="534"/>
      <c r="D267" s="534"/>
      <c r="E267" s="534"/>
      <c r="F267" s="534"/>
      <c r="G267" s="534"/>
      <c r="H267" s="534"/>
      <c r="I267" s="534"/>
      <c r="J267" s="534"/>
      <c r="K267" s="534"/>
      <c r="L267" s="534"/>
    </row>
    <row r="268" spans="1:12" ht="14.25">
      <c r="A268" s="534"/>
      <c r="B268" s="534"/>
      <c r="C268" s="534"/>
      <c r="D268" s="534"/>
      <c r="E268" s="534"/>
      <c r="F268" s="534"/>
      <c r="G268" s="534"/>
      <c r="H268" s="534"/>
      <c r="I268" s="534"/>
      <c r="J268" s="534"/>
      <c r="K268" s="534"/>
      <c r="L268" s="534"/>
    </row>
    <row r="269" spans="1:12" ht="14.25">
      <c r="A269" s="534"/>
      <c r="B269" s="534"/>
      <c r="C269" s="534"/>
      <c r="D269" s="534"/>
      <c r="E269" s="534"/>
      <c r="F269" s="534"/>
      <c r="G269" s="534"/>
      <c r="H269" s="534"/>
      <c r="I269" s="534"/>
      <c r="J269" s="534"/>
      <c r="K269" s="534"/>
      <c r="L269" s="534"/>
    </row>
    <row r="270" spans="1:12" ht="14.25">
      <c r="A270" s="534"/>
      <c r="B270" s="534"/>
      <c r="C270" s="534"/>
      <c r="D270" s="534"/>
      <c r="E270" s="534"/>
      <c r="F270" s="534"/>
      <c r="G270" s="534"/>
      <c r="H270" s="534"/>
      <c r="I270" s="534"/>
      <c r="J270" s="534"/>
      <c r="K270" s="534"/>
      <c r="L270" s="534"/>
    </row>
    <row r="271" spans="1:12" ht="14.25">
      <c r="A271" s="534"/>
      <c r="B271" s="534"/>
      <c r="C271" s="534"/>
      <c r="D271" s="534"/>
      <c r="E271" s="534"/>
      <c r="F271" s="534"/>
      <c r="G271" s="534"/>
      <c r="H271" s="534"/>
      <c r="I271" s="534"/>
      <c r="J271" s="534"/>
      <c r="K271" s="534"/>
      <c r="L271" s="534"/>
    </row>
    <row r="272" spans="1:12" ht="14.25">
      <c r="A272" s="534"/>
      <c r="B272" s="534"/>
      <c r="C272" s="534"/>
      <c r="D272" s="534"/>
      <c r="E272" s="534"/>
      <c r="F272" s="534"/>
      <c r="G272" s="534"/>
      <c r="H272" s="534"/>
      <c r="I272" s="534"/>
      <c r="J272" s="534"/>
      <c r="K272" s="534"/>
      <c r="L272" s="534"/>
    </row>
    <row r="273" spans="1:12" ht="14.25">
      <c r="A273" s="534"/>
      <c r="B273" s="534"/>
      <c r="C273" s="534"/>
      <c r="D273" s="534"/>
      <c r="E273" s="534"/>
      <c r="F273" s="534"/>
      <c r="G273" s="534"/>
      <c r="H273" s="534"/>
      <c r="I273" s="534"/>
      <c r="J273" s="534"/>
      <c r="K273" s="534"/>
      <c r="L273" s="534"/>
    </row>
    <row r="274" spans="1:12" ht="14.25">
      <c r="A274" s="534"/>
      <c r="B274" s="534"/>
      <c r="C274" s="534"/>
      <c r="D274" s="534"/>
      <c r="E274" s="534"/>
      <c r="F274" s="534"/>
      <c r="G274" s="534"/>
      <c r="H274" s="534"/>
      <c r="I274" s="534"/>
      <c r="J274" s="534"/>
      <c r="K274" s="534"/>
      <c r="L274" s="534"/>
    </row>
    <row r="275" spans="1:12" ht="14.25">
      <c r="A275" s="534"/>
      <c r="B275" s="534"/>
      <c r="C275" s="534"/>
      <c r="D275" s="534"/>
      <c r="E275" s="534"/>
      <c r="F275" s="534"/>
      <c r="G275" s="534"/>
      <c r="H275" s="534"/>
      <c r="I275" s="534"/>
      <c r="J275" s="534"/>
      <c r="K275" s="534"/>
      <c r="L275" s="534"/>
    </row>
    <row r="276" spans="1:12" ht="14.25">
      <c r="A276" s="534"/>
      <c r="B276" s="534"/>
      <c r="C276" s="534"/>
      <c r="D276" s="534"/>
      <c r="E276" s="534"/>
      <c r="F276" s="534"/>
      <c r="G276" s="534"/>
      <c r="H276" s="534"/>
      <c r="I276" s="534"/>
      <c r="J276" s="534"/>
      <c r="K276" s="534"/>
      <c r="L276" s="534"/>
    </row>
    <row r="277" spans="1:12" ht="14.25">
      <c r="A277" s="534"/>
      <c r="B277" s="534"/>
      <c r="C277" s="534"/>
      <c r="D277" s="534"/>
      <c r="E277" s="534"/>
      <c r="F277" s="534"/>
      <c r="G277" s="534"/>
      <c r="H277" s="534"/>
      <c r="I277" s="534"/>
      <c r="J277" s="534"/>
      <c r="K277" s="534"/>
      <c r="L277" s="534"/>
    </row>
    <row r="278" spans="1:12" ht="14.25">
      <c r="A278" s="534"/>
      <c r="B278" s="534"/>
      <c r="C278" s="534"/>
      <c r="D278" s="534"/>
      <c r="E278" s="534"/>
      <c r="F278" s="534"/>
      <c r="G278" s="534"/>
      <c r="H278" s="534"/>
      <c r="I278" s="534"/>
      <c r="J278" s="534"/>
      <c r="K278" s="534"/>
      <c r="L278" s="534"/>
    </row>
    <row r="279" spans="1:12" ht="14.25">
      <c r="A279" s="534"/>
      <c r="B279" s="534"/>
      <c r="C279" s="534"/>
      <c r="D279" s="534"/>
      <c r="E279" s="534"/>
      <c r="F279" s="534"/>
      <c r="G279" s="534"/>
      <c r="H279" s="534"/>
      <c r="I279" s="534"/>
      <c r="J279" s="534"/>
      <c r="K279" s="534"/>
      <c r="L279" s="534"/>
    </row>
    <row r="280" spans="1:12" ht="14.25">
      <c r="A280" s="534"/>
      <c r="B280" s="534"/>
      <c r="C280" s="534"/>
      <c r="D280" s="534"/>
      <c r="E280" s="534"/>
      <c r="F280" s="534"/>
      <c r="G280" s="534"/>
      <c r="H280" s="534"/>
      <c r="I280" s="534"/>
      <c r="J280" s="534"/>
      <c r="K280" s="534"/>
      <c r="L280" s="534"/>
    </row>
    <row r="281" spans="1:12" ht="14.25">
      <c r="A281" s="534"/>
      <c r="B281" s="534"/>
      <c r="C281" s="534"/>
      <c r="D281" s="534"/>
      <c r="E281" s="534"/>
      <c r="F281" s="534"/>
      <c r="G281" s="534"/>
      <c r="H281" s="534"/>
      <c r="I281" s="534"/>
      <c r="J281" s="534"/>
      <c r="K281" s="534"/>
      <c r="L281" s="534"/>
    </row>
    <row r="282" spans="1:12" ht="14.25">
      <c r="A282" s="534"/>
      <c r="B282" s="534"/>
      <c r="C282" s="534"/>
      <c r="D282" s="534"/>
      <c r="E282" s="534"/>
      <c r="F282" s="534"/>
      <c r="G282" s="534"/>
      <c r="H282" s="534"/>
      <c r="I282" s="534"/>
      <c r="J282" s="534"/>
      <c r="K282" s="534"/>
      <c r="L282" s="534"/>
    </row>
    <row r="283" spans="1:12" ht="14.25">
      <c r="A283" s="534"/>
      <c r="B283" s="534"/>
      <c r="C283" s="534"/>
      <c r="D283" s="534"/>
      <c r="E283" s="534"/>
      <c r="F283" s="534"/>
      <c r="G283" s="534"/>
      <c r="H283" s="534"/>
      <c r="I283" s="534"/>
      <c r="J283" s="534"/>
      <c r="K283" s="534"/>
      <c r="L283" s="534"/>
    </row>
    <row r="284" spans="1:12" ht="14.25">
      <c r="A284" s="534"/>
      <c r="B284" s="534"/>
      <c r="C284" s="534"/>
      <c r="D284" s="534"/>
      <c r="E284" s="534"/>
      <c r="F284" s="534"/>
      <c r="G284" s="534"/>
      <c r="H284" s="534"/>
      <c r="I284" s="534"/>
      <c r="J284" s="534"/>
      <c r="K284" s="534"/>
      <c r="L284" s="534"/>
    </row>
    <row r="285" spans="1:12" ht="14.25">
      <c r="A285" s="534"/>
      <c r="B285" s="534"/>
      <c r="C285" s="534"/>
      <c r="D285" s="534"/>
      <c r="E285" s="534"/>
      <c r="F285" s="534"/>
      <c r="G285" s="534"/>
      <c r="H285" s="534"/>
      <c r="I285" s="534"/>
      <c r="J285" s="534"/>
      <c r="K285" s="534"/>
      <c r="L285" s="534"/>
    </row>
    <row r="286" spans="1:12" ht="14.25">
      <c r="A286" s="534"/>
      <c r="B286" s="534"/>
      <c r="C286" s="534"/>
      <c r="D286" s="534"/>
      <c r="E286" s="534"/>
      <c r="F286" s="534"/>
      <c r="G286" s="534"/>
      <c r="H286" s="534"/>
      <c r="I286" s="534"/>
      <c r="J286" s="534"/>
      <c r="K286" s="534"/>
      <c r="L286" s="534"/>
    </row>
    <row r="287" spans="1:12" ht="14.25">
      <c r="A287" s="534"/>
      <c r="B287" s="534"/>
      <c r="C287" s="534"/>
      <c r="D287" s="534"/>
      <c r="E287" s="534"/>
      <c r="F287" s="534"/>
      <c r="G287" s="534"/>
      <c r="H287" s="534"/>
      <c r="I287" s="534"/>
      <c r="J287" s="534"/>
      <c r="K287" s="534"/>
      <c r="L287" s="534"/>
    </row>
    <row r="288" spans="1:12" ht="14.25">
      <c r="A288" s="534"/>
      <c r="B288" s="534"/>
      <c r="C288" s="534"/>
      <c r="D288" s="534"/>
      <c r="E288" s="534"/>
      <c r="F288" s="534"/>
      <c r="G288" s="534"/>
      <c r="H288" s="534"/>
      <c r="I288" s="534"/>
      <c r="J288" s="534"/>
      <c r="K288" s="534"/>
      <c r="L288" s="534"/>
    </row>
    <row r="289" spans="1:12" ht="14.25">
      <c r="A289" s="534"/>
      <c r="B289" s="534"/>
      <c r="C289" s="534"/>
      <c r="D289" s="534"/>
      <c r="E289" s="534"/>
      <c r="F289" s="534"/>
      <c r="G289" s="534"/>
      <c r="H289" s="534"/>
      <c r="I289" s="534"/>
      <c r="J289" s="534"/>
      <c r="K289" s="534"/>
      <c r="L289" s="534"/>
    </row>
    <row r="290" spans="1:12" ht="14.25">
      <c r="A290" s="534"/>
      <c r="B290" s="534"/>
      <c r="C290" s="534"/>
      <c r="D290" s="534"/>
      <c r="E290" s="534"/>
      <c r="F290" s="534"/>
      <c r="G290" s="534"/>
      <c r="H290" s="534"/>
      <c r="I290" s="534"/>
      <c r="J290" s="534"/>
      <c r="K290" s="534"/>
      <c r="L290" s="534"/>
    </row>
    <row r="291" spans="1:12" ht="14.25">
      <c r="A291" s="534"/>
      <c r="B291" s="534"/>
      <c r="C291" s="534"/>
      <c r="D291" s="534"/>
      <c r="E291" s="534"/>
      <c r="F291" s="534"/>
      <c r="G291" s="534"/>
      <c r="H291" s="534"/>
      <c r="I291" s="534"/>
      <c r="J291" s="534"/>
      <c r="K291" s="534"/>
      <c r="L291" s="534"/>
    </row>
    <row r="292" spans="1:12" ht="14.25">
      <c r="A292" s="534"/>
      <c r="B292" s="534"/>
      <c r="C292" s="534"/>
      <c r="D292" s="534"/>
      <c r="E292" s="534"/>
      <c r="F292" s="534"/>
      <c r="G292" s="534"/>
      <c r="H292" s="534"/>
      <c r="I292" s="534"/>
      <c r="J292" s="534"/>
      <c r="K292" s="534"/>
      <c r="L292" s="534"/>
    </row>
    <row r="293" spans="1:12" ht="14.25">
      <c r="A293" s="534"/>
      <c r="B293" s="534"/>
      <c r="C293" s="534"/>
      <c r="D293" s="534"/>
      <c r="E293" s="534"/>
      <c r="F293" s="534"/>
      <c r="G293" s="534"/>
      <c r="H293" s="534"/>
      <c r="I293" s="534"/>
      <c r="J293" s="534"/>
      <c r="K293" s="534"/>
      <c r="L293" s="534"/>
    </row>
    <row r="294" spans="1:12" ht="14.25">
      <c r="A294" s="534"/>
      <c r="B294" s="534"/>
      <c r="C294" s="534"/>
      <c r="D294" s="534"/>
      <c r="E294" s="534"/>
      <c r="F294" s="534"/>
      <c r="G294" s="534"/>
      <c r="H294" s="534"/>
      <c r="I294" s="534"/>
      <c r="J294" s="534"/>
      <c r="K294" s="534"/>
      <c r="L294" s="534"/>
    </row>
    <row r="295" spans="1:12" ht="14.25">
      <c r="A295" s="534"/>
      <c r="B295" s="534"/>
      <c r="C295" s="534"/>
      <c r="D295" s="534"/>
      <c r="E295" s="534"/>
      <c r="F295" s="534"/>
      <c r="G295" s="534"/>
      <c r="H295" s="534"/>
      <c r="I295" s="534"/>
      <c r="J295" s="534"/>
      <c r="K295" s="534"/>
      <c r="L295" s="534"/>
    </row>
    <row r="296" spans="1:12" ht="14.25">
      <c r="A296" s="534"/>
      <c r="B296" s="534"/>
      <c r="C296" s="534"/>
      <c r="D296" s="534"/>
      <c r="E296" s="534"/>
      <c r="F296" s="534"/>
      <c r="G296" s="534"/>
      <c r="H296" s="534"/>
      <c r="I296" s="534"/>
      <c r="J296" s="534"/>
      <c r="K296" s="534"/>
      <c r="L296" s="534"/>
    </row>
    <row r="297" spans="1:12" ht="14.25">
      <c r="A297" s="534"/>
      <c r="B297" s="534"/>
      <c r="C297" s="534"/>
      <c r="D297" s="534"/>
      <c r="E297" s="534"/>
      <c r="F297" s="534"/>
      <c r="G297" s="534"/>
      <c r="H297" s="534"/>
      <c r="I297" s="534"/>
      <c r="J297" s="534"/>
      <c r="K297" s="534"/>
      <c r="L297" s="534"/>
    </row>
    <row r="298" spans="1:12" ht="14.25">
      <c r="A298" s="534"/>
      <c r="B298" s="534"/>
      <c r="C298" s="534"/>
      <c r="D298" s="534"/>
      <c r="E298" s="534"/>
      <c r="F298" s="534"/>
      <c r="G298" s="534"/>
      <c r="H298" s="534"/>
      <c r="I298" s="534"/>
      <c r="J298" s="534"/>
      <c r="K298" s="534"/>
      <c r="L298" s="534"/>
    </row>
    <row r="299" spans="1:12" ht="14.25">
      <c r="A299" s="534"/>
      <c r="B299" s="534"/>
      <c r="C299" s="534"/>
      <c r="D299" s="534"/>
      <c r="E299" s="534"/>
      <c r="F299" s="534"/>
      <c r="G299" s="534"/>
      <c r="H299" s="534"/>
      <c r="I299" s="534"/>
      <c r="J299" s="534"/>
      <c r="K299" s="534"/>
      <c r="L299" s="534"/>
    </row>
    <row r="300" spans="1:12" ht="14.25">
      <c r="A300" s="534"/>
      <c r="B300" s="534"/>
      <c r="C300" s="534"/>
      <c r="D300" s="534"/>
      <c r="E300" s="534"/>
      <c r="F300" s="534"/>
      <c r="G300" s="534"/>
      <c r="H300" s="534"/>
      <c r="I300" s="534"/>
      <c r="J300" s="534"/>
      <c r="K300" s="534"/>
      <c r="L300" s="534"/>
    </row>
    <row r="301" spans="1:12" ht="14.25">
      <c r="A301" s="534"/>
      <c r="B301" s="534"/>
      <c r="C301" s="534"/>
      <c r="D301" s="534"/>
      <c r="E301" s="534"/>
      <c r="F301" s="534"/>
      <c r="G301" s="534"/>
      <c r="H301" s="534"/>
      <c r="I301" s="534"/>
      <c r="J301" s="534"/>
      <c r="K301" s="534"/>
      <c r="L301" s="534"/>
    </row>
    <row r="302" spans="1:12" ht="14.25">
      <c r="A302" s="534"/>
      <c r="B302" s="534"/>
      <c r="C302" s="534"/>
      <c r="D302" s="534"/>
      <c r="E302" s="534"/>
      <c r="F302" s="534"/>
      <c r="G302" s="534"/>
      <c r="H302" s="534"/>
      <c r="I302" s="534"/>
      <c r="J302" s="534"/>
      <c r="K302" s="534"/>
      <c r="L302" s="534"/>
    </row>
    <row r="303" spans="1:12" ht="14.25">
      <c r="A303" s="534"/>
      <c r="B303" s="534"/>
      <c r="C303" s="534"/>
      <c r="D303" s="534"/>
      <c r="E303" s="534"/>
      <c r="F303" s="534"/>
      <c r="G303" s="534"/>
      <c r="H303" s="534"/>
      <c r="I303" s="534"/>
      <c r="J303" s="534"/>
      <c r="K303" s="534"/>
      <c r="L303" s="534"/>
    </row>
    <row r="304" spans="1:12" ht="14.25">
      <c r="A304" s="534"/>
      <c r="B304" s="534"/>
      <c r="C304" s="534"/>
      <c r="D304" s="534"/>
      <c r="E304" s="534"/>
      <c r="F304" s="534"/>
      <c r="G304" s="534"/>
      <c r="H304" s="534"/>
      <c r="I304" s="534"/>
      <c r="J304" s="534"/>
      <c r="K304" s="534"/>
      <c r="L304" s="534"/>
    </row>
    <row r="305" spans="1:12" ht="14.25">
      <c r="A305" s="534"/>
      <c r="B305" s="534"/>
      <c r="C305" s="534"/>
      <c r="D305" s="534"/>
      <c r="E305" s="534"/>
      <c r="F305" s="534"/>
      <c r="G305" s="534"/>
      <c r="H305" s="534"/>
      <c r="I305" s="534"/>
      <c r="J305" s="534"/>
      <c r="K305" s="534"/>
      <c r="L305" s="534"/>
    </row>
    <row r="306" spans="1:12" ht="14.25">
      <c r="A306" s="534"/>
      <c r="B306" s="534"/>
      <c r="C306" s="534"/>
      <c r="D306" s="534"/>
      <c r="E306" s="534"/>
      <c r="F306" s="534"/>
      <c r="G306" s="534"/>
      <c r="H306" s="534"/>
      <c r="I306" s="534"/>
      <c r="J306" s="534"/>
      <c r="K306" s="534"/>
      <c r="L306" s="534"/>
    </row>
    <row r="307" spans="1:12" ht="14.25">
      <c r="A307" s="534"/>
      <c r="B307" s="534"/>
      <c r="C307" s="534"/>
      <c r="D307" s="534"/>
      <c r="E307" s="534"/>
      <c r="F307" s="534"/>
      <c r="G307" s="534"/>
      <c r="H307" s="534"/>
      <c r="I307" s="534"/>
      <c r="J307" s="534"/>
      <c r="K307" s="534"/>
      <c r="L307" s="534"/>
    </row>
    <row r="308" spans="1:12" ht="14.25">
      <c r="A308" s="534"/>
      <c r="B308" s="534"/>
      <c r="C308" s="534"/>
      <c r="D308" s="534"/>
      <c r="E308" s="534"/>
      <c r="F308" s="534"/>
      <c r="G308" s="534"/>
      <c r="H308" s="534"/>
      <c r="I308" s="534"/>
      <c r="J308" s="534"/>
      <c r="K308" s="534"/>
      <c r="L308" s="534"/>
    </row>
    <row r="309" spans="1:12" ht="14.25">
      <c r="A309" s="534"/>
      <c r="B309" s="534"/>
      <c r="C309" s="534"/>
      <c r="D309" s="534"/>
      <c r="E309" s="534"/>
      <c r="F309" s="534"/>
      <c r="G309" s="534"/>
      <c r="H309" s="534"/>
      <c r="I309" s="534"/>
      <c r="J309" s="534"/>
      <c r="K309" s="534"/>
      <c r="L309" s="534"/>
    </row>
    <row r="310" spans="1:12" ht="14.25">
      <c r="A310" s="534"/>
      <c r="B310" s="534"/>
      <c r="C310" s="534"/>
      <c r="D310" s="534"/>
      <c r="E310" s="534"/>
      <c r="F310" s="534"/>
      <c r="G310" s="534"/>
      <c r="H310" s="534"/>
      <c r="I310" s="534"/>
      <c r="J310" s="534"/>
      <c r="K310" s="534"/>
      <c r="L310" s="534"/>
    </row>
    <row r="311" spans="1:12" ht="14.25">
      <c r="A311" s="534"/>
      <c r="B311" s="534"/>
      <c r="C311" s="534"/>
      <c r="D311" s="534"/>
      <c r="E311" s="534"/>
      <c r="F311" s="534"/>
      <c r="G311" s="534"/>
      <c r="H311" s="534"/>
      <c r="I311" s="534"/>
      <c r="J311" s="534"/>
      <c r="K311" s="534"/>
      <c r="L311" s="534"/>
    </row>
    <row r="312" spans="1:12" ht="14.25">
      <c r="A312" s="534"/>
      <c r="B312" s="534"/>
      <c r="C312" s="534"/>
      <c r="D312" s="534"/>
      <c r="E312" s="534"/>
      <c r="F312" s="534"/>
      <c r="G312" s="534"/>
      <c r="H312" s="534"/>
      <c r="I312" s="534"/>
      <c r="J312" s="534"/>
      <c r="K312" s="534"/>
      <c r="L312" s="534"/>
    </row>
    <row r="313" spans="1:12" ht="14.25">
      <c r="A313" s="534"/>
      <c r="B313" s="534"/>
      <c r="C313" s="534"/>
      <c r="D313" s="534"/>
      <c r="E313" s="534"/>
      <c r="F313" s="534"/>
      <c r="G313" s="534"/>
      <c r="H313" s="534"/>
      <c r="I313" s="534"/>
      <c r="J313" s="534"/>
      <c r="K313" s="534"/>
      <c r="L313" s="534"/>
    </row>
    <row r="314" spans="1:12" ht="14.25">
      <c r="A314" s="534"/>
      <c r="B314" s="534"/>
      <c r="C314" s="534"/>
      <c r="D314" s="534"/>
      <c r="E314" s="534"/>
      <c r="F314" s="534"/>
      <c r="G314" s="534"/>
      <c r="H314" s="534"/>
      <c r="I314" s="534"/>
      <c r="J314" s="534"/>
      <c r="K314" s="534"/>
      <c r="L314" s="534"/>
    </row>
    <row r="315" spans="1:12" ht="14.25">
      <c r="A315" s="534"/>
      <c r="B315" s="534"/>
      <c r="C315" s="534"/>
      <c r="D315" s="534"/>
      <c r="E315" s="534"/>
      <c r="F315" s="534"/>
      <c r="G315" s="534"/>
      <c r="H315" s="534"/>
      <c r="I315" s="534"/>
      <c r="J315" s="534"/>
      <c r="K315" s="534"/>
      <c r="L315" s="534"/>
    </row>
    <row r="316" spans="1:12" ht="14.25">
      <c r="A316" s="534"/>
      <c r="B316" s="534"/>
      <c r="C316" s="534"/>
      <c r="D316" s="534"/>
      <c r="E316" s="534"/>
      <c r="F316" s="534"/>
      <c r="G316" s="534"/>
      <c r="H316" s="534"/>
      <c r="I316" s="534"/>
      <c r="J316" s="534"/>
      <c r="K316" s="534"/>
      <c r="L316" s="534"/>
    </row>
    <row r="317" spans="1:12" ht="14.25">
      <c r="A317" s="534"/>
      <c r="B317" s="534"/>
      <c r="C317" s="534"/>
      <c r="D317" s="534"/>
      <c r="E317" s="534"/>
      <c r="F317" s="534"/>
      <c r="G317" s="534"/>
      <c r="H317" s="534"/>
      <c r="I317" s="534"/>
      <c r="J317" s="534"/>
      <c r="K317" s="534"/>
      <c r="L317" s="534"/>
    </row>
    <row r="318" spans="1:12" ht="14.25">
      <c r="A318" s="534"/>
      <c r="B318" s="534"/>
      <c r="C318" s="534"/>
      <c r="D318" s="534"/>
      <c r="E318" s="534"/>
      <c r="F318" s="534"/>
      <c r="G318" s="534"/>
      <c r="H318" s="534"/>
      <c r="I318" s="534"/>
      <c r="J318" s="534"/>
      <c r="K318" s="534"/>
      <c r="L318" s="534"/>
    </row>
    <row r="319" spans="1:12" ht="14.25">
      <c r="A319" s="534"/>
      <c r="B319" s="534"/>
      <c r="C319" s="534"/>
      <c r="D319" s="534"/>
      <c r="E319" s="534"/>
      <c r="F319" s="534"/>
      <c r="G319" s="534"/>
      <c r="H319" s="534"/>
      <c r="I319" s="534"/>
      <c r="J319" s="534"/>
      <c r="K319" s="534"/>
      <c r="L319" s="534"/>
    </row>
    <row r="320" spans="1:12" ht="14.25">
      <c r="A320" s="534"/>
      <c r="B320" s="534"/>
      <c r="C320" s="534"/>
      <c r="D320" s="534"/>
      <c r="E320" s="534"/>
      <c r="F320" s="534"/>
      <c r="G320" s="534"/>
      <c r="H320" s="534"/>
      <c r="I320" s="534"/>
      <c r="J320" s="534"/>
      <c r="K320" s="534"/>
      <c r="L320" s="534"/>
    </row>
    <row r="321" spans="1:12" ht="14.25">
      <c r="A321" s="534"/>
      <c r="B321" s="534"/>
      <c r="C321" s="534"/>
      <c r="D321" s="534"/>
      <c r="E321" s="534"/>
      <c r="F321" s="534"/>
      <c r="G321" s="534"/>
      <c r="H321" s="534"/>
      <c r="I321" s="534"/>
      <c r="J321" s="534"/>
      <c r="K321" s="534"/>
      <c r="L321" s="534"/>
    </row>
    <row r="322" spans="1:12" ht="14.25">
      <c r="A322" s="534"/>
      <c r="B322" s="534"/>
      <c r="C322" s="534"/>
      <c r="D322" s="534"/>
      <c r="E322" s="534"/>
      <c r="F322" s="534"/>
      <c r="G322" s="534"/>
      <c r="H322" s="534"/>
      <c r="I322" s="534"/>
      <c r="J322" s="534"/>
      <c r="K322" s="534"/>
      <c r="L322" s="534"/>
    </row>
    <row r="323" spans="1:12" ht="14.25">
      <c r="A323" s="534"/>
      <c r="B323" s="534"/>
      <c r="C323" s="534"/>
      <c r="D323" s="534"/>
      <c r="E323" s="534"/>
      <c r="F323" s="534"/>
      <c r="G323" s="534"/>
      <c r="H323" s="534"/>
      <c r="I323" s="534"/>
      <c r="J323" s="534"/>
      <c r="K323" s="534"/>
      <c r="L323" s="534"/>
    </row>
    <row r="324" spans="1:12" ht="14.25">
      <c r="A324" s="534"/>
      <c r="B324" s="534"/>
      <c r="C324" s="534"/>
      <c r="D324" s="534"/>
      <c r="E324" s="534"/>
      <c r="F324" s="534"/>
      <c r="G324" s="534"/>
      <c r="H324" s="534"/>
      <c r="I324" s="534"/>
      <c r="J324" s="534"/>
      <c r="K324" s="534"/>
      <c r="L324" s="534"/>
    </row>
    <row r="325" spans="1:12" ht="14.25">
      <c r="A325" s="534"/>
      <c r="B325" s="534"/>
      <c r="C325" s="534"/>
      <c r="D325" s="534"/>
      <c r="E325" s="534"/>
      <c r="F325" s="534"/>
      <c r="G325" s="534"/>
      <c r="H325" s="534"/>
      <c r="I325" s="534"/>
      <c r="J325" s="534"/>
      <c r="K325" s="534"/>
      <c r="L325" s="534"/>
    </row>
    <row r="326" spans="1:12" ht="14.25">
      <c r="A326" s="534"/>
      <c r="B326" s="534"/>
      <c r="C326" s="534"/>
      <c r="D326" s="534"/>
      <c r="E326" s="534"/>
      <c r="F326" s="534"/>
      <c r="G326" s="534"/>
      <c r="H326" s="534"/>
      <c r="I326" s="534"/>
      <c r="J326" s="534"/>
      <c r="K326" s="534"/>
      <c r="L326" s="534"/>
    </row>
    <row r="327" spans="1:12" ht="14.25">
      <c r="A327" s="534"/>
      <c r="B327" s="534"/>
      <c r="C327" s="534"/>
      <c r="D327" s="534"/>
      <c r="E327" s="534"/>
      <c r="F327" s="534"/>
      <c r="G327" s="534"/>
      <c r="H327" s="534"/>
      <c r="I327" s="534"/>
      <c r="J327" s="534"/>
      <c r="K327" s="534"/>
      <c r="L327" s="534"/>
    </row>
    <row r="328" spans="1:12" ht="14.25">
      <c r="A328" s="534"/>
      <c r="B328" s="534"/>
      <c r="C328" s="534"/>
      <c r="D328" s="534"/>
      <c r="E328" s="534"/>
      <c r="F328" s="534"/>
      <c r="G328" s="534"/>
      <c r="H328" s="534"/>
      <c r="I328" s="534"/>
      <c r="J328" s="534"/>
      <c r="K328" s="534"/>
      <c r="L328" s="534"/>
    </row>
    <row r="329" spans="1:12" ht="14.25">
      <c r="A329" s="534"/>
      <c r="B329" s="534"/>
      <c r="C329" s="534"/>
      <c r="D329" s="534"/>
      <c r="E329" s="534"/>
      <c r="F329" s="534"/>
      <c r="G329" s="534"/>
      <c r="H329" s="534"/>
      <c r="I329" s="534"/>
      <c r="J329" s="534"/>
      <c r="K329" s="534"/>
      <c r="L329" s="534"/>
    </row>
    <row r="330" spans="1:12" ht="14.25">
      <c r="A330" s="534"/>
      <c r="B330" s="534"/>
      <c r="C330" s="534"/>
      <c r="D330" s="534"/>
      <c r="E330" s="534"/>
      <c r="F330" s="534"/>
      <c r="G330" s="534"/>
      <c r="H330" s="534"/>
      <c r="I330" s="534"/>
      <c r="J330" s="534"/>
      <c r="K330" s="534"/>
      <c r="L330" s="534"/>
    </row>
    <row r="331" spans="1:12" ht="14.25">
      <c r="A331" s="534"/>
      <c r="B331" s="534"/>
      <c r="C331" s="534"/>
      <c r="D331" s="534"/>
      <c r="E331" s="534"/>
      <c r="F331" s="534"/>
      <c r="G331" s="534"/>
      <c r="H331" s="534"/>
      <c r="I331" s="534"/>
      <c r="J331" s="534"/>
      <c r="K331" s="534"/>
      <c r="L331" s="534"/>
    </row>
    <row r="332" spans="1:12" ht="14.25">
      <c r="A332" s="534"/>
      <c r="B332" s="534"/>
      <c r="C332" s="534"/>
      <c r="D332" s="534"/>
      <c r="E332" s="534"/>
      <c r="F332" s="534"/>
      <c r="G332" s="534"/>
      <c r="H332" s="534"/>
      <c r="I332" s="534"/>
      <c r="J332" s="534"/>
      <c r="K332" s="534"/>
      <c r="L332" s="534"/>
    </row>
    <row r="333" spans="1:12" ht="14.25">
      <c r="A333" s="534"/>
      <c r="B333" s="534"/>
      <c r="C333" s="534"/>
      <c r="D333" s="534"/>
      <c r="E333" s="534"/>
      <c r="F333" s="534"/>
      <c r="G333" s="534"/>
      <c r="H333" s="534"/>
      <c r="I333" s="534"/>
      <c r="J333" s="534"/>
      <c r="K333" s="534"/>
      <c r="L333" s="534"/>
    </row>
    <row r="334" spans="1:12" ht="14.25">
      <c r="A334" s="534"/>
      <c r="B334" s="534"/>
      <c r="C334" s="534"/>
      <c r="D334" s="534"/>
      <c r="E334" s="534"/>
      <c r="F334" s="534"/>
      <c r="G334" s="534"/>
      <c r="H334" s="534"/>
      <c r="I334" s="534"/>
      <c r="J334" s="534"/>
      <c r="K334" s="534"/>
      <c r="L334" s="534"/>
    </row>
    <row r="335" spans="1:12" ht="14.25">
      <c r="A335" s="534"/>
      <c r="B335" s="534"/>
      <c r="C335" s="534"/>
      <c r="D335" s="534"/>
      <c r="E335" s="534"/>
      <c r="F335" s="534"/>
      <c r="G335" s="534"/>
      <c r="H335" s="534"/>
      <c r="I335" s="534"/>
      <c r="J335" s="534"/>
      <c r="K335" s="534"/>
      <c r="L335" s="534"/>
    </row>
    <row r="336" spans="1:12" ht="14.25">
      <c r="A336" s="534"/>
      <c r="B336" s="534"/>
      <c r="C336" s="534"/>
      <c r="D336" s="534"/>
      <c r="E336" s="534"/>
      <c r="F336" s="534"/>
      <c r="G336" s="534"/>
      <c r="H336" s="534"/>
      <c r="I336" s="534"/>
      <c r="J336" s="534"/>
      <c r="K336" s="534"/>
      <c r="L336" s="534"/>
    </row>
    <row r="337" spans="1:12" ht="14.25">
      <c r="A337" s="534"/>
      <c r="B337" s="534"/>
      <c r="C337" s="534"/>
      <c r="D337" s="534"/>
      <c r="E337" s="534"/>
      <c r="F337" s="534"/>
      <c r="G337" s="534"/>
      <c r="H337" s="534"/>
      <c r="I337" s="534"/>
      <c r="J337" s="534"/>
      <c r="K337" s="534"/>
      <c r="L337" s="534"/>
    </row>
    <row r="338" spans="1:12" ht="14.25">
      <c r="A338" s="534"/>
      <c r="B338" s="534"/>
      <c r="C338" s="534"/>
      <c r="D338" s="534"/>
      <c r="E338" s="534"/>
      <c r="F338" s="534"/>
      <c r="G338" s="534"/>
      <c r="H338" s="534"/>
      <c r="I338" s="534"/>
      <c r="J338" s="534"/>
      <c r="K338" s="534"/>
      <c r="L338" s="534"/>
    </row>
    <row r="339" spans="1:12" ht="14.25">
      <c r="A339" s="534"/>
      <c r="B339" s="534"/>
      <c r="C339" s="534"/>
      <c r="D339" s="534"/>
      <c r="E339" s="534"/>
      <c r="F339" s="534"/>
      <c r="G339" s="534"/>
      <c r="H339" s="534"/>
      <c r="I339" s="534"/>
      <c r="J339" s="534"/>
      <c r="K339" s="534"/>
      <c r="L339" s="534"/>
    </row>
    <row r="340" spans="1:12" ht="14.25">
      <c r="A340" s="534"/>
      <c r="B340" s="534"/>
      <c r="C340" s="534"/>
      <c r="D340" s="534"/>
      <c r="E340" s="534"/>
      <c r="F340" s="534"/>
      <c r="G340" s="534"/>
      <c r="H340" s="534"/>
      <c r="I340" s="534"/>
      <c r="J340" s="534"/>
      <c r="K340" s="534"/>
      <c r="L340" s="534"/>
    </row>
    <row r="341" spans="1:12" ht="14.25">
      <c r="A341" s="534"/>
      <c r="B341" s="534"/>
      <c r="C341" s="534"/>
      <c r="D341" s="534"/>
      <c r="E341" s="534"/>
      <c r="F341" s="534"/>
      <c r="G341" s="534"/>
      <c r="H341" s="534"/>
      <c r="I341" s="534"/>
      <c r="J341" s="534"/>
      <c r="K341" s="534"/>
      <c r="L341" s="534"/>
    </row>
    <row r="342" spans="1:12" ht="14.25">
      <c r="A342" s="534"/>
      <c r="B342" s="534"/>
      <c r="C342" s="534"/>
      <c r="D342" s="534"/>
      <c r="E342" s="534"/>
      <c r="F342" s="534"/>
      <c r="G342" s="534"/>
      <c r="H342" s="534"/>
      <c r="I342" s="534"/>
      <c r="J342" s="534"/>
      <c r="K342" s="534"/>
      <c r="L342" s="534"/>
    </row>
    <row r="343" spans="1:12" ht="14.25">
      <c r="A343" s="534"/>
      <c r="B343" s="534"/>
      <c r="C343" s="534"/>
      <c r="D343" s="534"/>
      <c r="E343" s="534"/>
      <c r="F343" s="534"/>
      <c r="G343" s="534"/>
      <c r="H343" s="534"/>
      <c r="I343" s="534"/>
      <c r="J343" s="534"/>
      <c r="K343" s="534"/>
      <c r="L343" s="534"/>
    </row>
    <row r="344" spans="1:12" ht="14.25">
      <c r="A344" s="534"/>
      <c r="B344" s="534"/>
      <c r="C344" s="534"/>
      <c r="D344" s="534"/>
      <c r="E344" s="534"/>
      <c r="F344" s="534"/>
      <c r="G344" s="534"/>
      <c r="H344" s="534"/>
      <c r="I344" s="534"/>
      <c r="J344" s="534"/>
      <c r="K344" s="534"/>
      <c r="L344" s="534"/>
    </row>
    <row r="345" spans="1:12" ht="14.25">
      <c r="A345" s="534"/>
      <c r="B345" s="534"/>
      <c r="C345" s="534"/>
      <c r="D345" s="534"/>
      <c r="E345" s="534"/>
      <c r="F345" s="534"/>
      <c r="G345" s="534"/>
      <c r="H345" s="534"/>
      <c r="I345" s="534"/>
      <c r="J345" s="534"/>
      <c r="K345" s="534"/>
      <c r="L345" s="534"/>
    </row>
    <row r="346" spans="1:12" ht="14.25">
      <c r="A346" s="534"/>
      <c r="B346" s="534"/>
      <c r="C346" s="534"/>
      <c r="D346" s="534"/>
      <c r="E346" s="534"/>
      <c r="F346" s="534"/>
      <c r="G346" s="534"/>
      <c r="H346" s="534"/>
      <c r="I346" s="534"/>
      <c r="J346" s="534"/>
      <c r="K346" s="534"/>
      <c r="L346" s="534"/>
    </row>
    <row r="347" spans="1:12" ht="14.25">
      <c r="A347" s="534"/>
      <c r="B347" s="534"/>
      <c r="C347" s="534"/>
      <c r="D347" s="534"/>
      <c r="E347" s="534"/>
      <c r="F347" s="534"/>
      <c r="G347" s="534"/>
      <c r="H347" s="534"/>
      <c r="I347" s="534"/>
      <c r="J347" s="534"/>
      <c r="K347" s="534"/>
      <c r="L347" s="534"/>
    </row>
    <row r="348" spans="1:12" ht="14.25">
      <c r="A348" s="534"/>
      <c r="B348" s="534"/>
      <c r="C348" s="534"/>
      <c r="D348" s="534"/>
      <c r="E348" s="534"/>
      <c r="F348" s="534"/>
      <c r="G348" s="534"/>
      <c r="H348" s="534"/>
      <c r="I348" s="534"/>
      <c r="J348" s="534"/>
      <c r="K348" s="534"/>
      <c r="L348" s="534"/>
    </row>
    <row r="349" spans="1:12" ht="14.25">
      <c r="A349" s="534"/>
      <c r="B349" s="534"/>
      <c r="C349" s="534"/>
      <c r="D349" s="534"/>
      <c r="E349" s="534"/>
      <c r="F349" s="534"/>
      <c r="G349" s="534"/>
      <c r="H349" s="534"/>
      <c r="I349" s="534"/>
      <c r="J349" s="534"/>
      <c r="K349" s="534"/>
      <c r="L349" s="534"/>
    </row>
    <row r="350" spans="1:12" ht="14.25">
      <c r="A350" s="534"/>
      <c r="B350" s="534"/>
      <c r="C350" s="534"/>
      <c r="D350" s="534"/>
      <c r="E350" s="534"/>
      <c r="F350" s="534"/>
      <c r="G350" s="534"/>
      <c r="H350" s="534"/>
      <c r="I350" s="534"/>
      <c r="J350" s="534"/>
      <c r="K350" s="534"/>
      <c r="L350" s="534"/>
    </row>
    <row r="351" spans="1:12" ht="14.25">
      <c r="A351" s="534"/>
      <c r="B351" s="534"/>
      <c r="C351" s="534"/>
      <c r="D351" s="534"/>
      <c r="E351" s="534"/>
      <c r="F351" s="534"/>
      <c r="G351" s="534"/>
      <c r="H351" s="534"/>
      <c r="I351" s="534"/>
      <c r="J351" s="534"/>
      <c r="K351" s="534"/>
      <c r="L351" s="534"/>
    </row>
    <row r="352" spans="1:12" ht="14.25">
      <c r="A352" s="534"/>
      <c r="B352" s="534"/>
      <c r="C352" s="534"/>
      <c r="D352" s="534"/>
      <c r="E352" s="534"/>
      <c r="F352" s="534"/>
      <c r="G352" s="534"/>
      <c r="H352" s="534"/>
      <c r="I352" s="534"/>
      <c r="J352" s="534"/>
      <c r="K352" s="534"/>
      <c r="L352" s="534"/>
    </row>
    <row r="353" spans="1:12" ht="14.25">
      <c r="A353" s="534"/>
      <c r="B353" s="534"/>
      <c r="C353" s="534"/>
      <c r="D353" s="534"/>
      <c r="E353" s="534"/>
      <c r="F353" s="534"/>
      <c r="G353" s="534"/>
      <c r="H353" s="534"/>
      <c r="I353" s="534"/>
      <c r="J353" s="534"/>
      <c r="K353" s="534"/>
      <c r="L353" s="534"/>
    </row>
    <row r="354" spans="1:12" ht="14.25">
      <c r="A354" s="534"/>
      <c r="B354" s="534"/>
      <c r="C354" s="534"/>
      <c r="D354" s="534"/>
      <c r="E354" s="534"/>
      <c r="F354" s="534"/>
      <c r="G354" s="534"/>
      <c r="H354" s="534"/>
      <c r="I354" s="534"/>
      <c r="J354" s="534"/>
      <c r="K354" s="534"/>
      <c r="L354" s="534"/>
    </row>
  </sheetData>
  <sheetProtection sheet="1"/>
  <mergeCells count="55">
    <mergeCell ref="C103:D103"/>
    <mergeCell ref="C136:D136"/>
    <mergeCell ref="C137:D137"/>
    <mergeCell ref="B144:K144"/>
    <mergeCell ref="C147:D147"/>
    <mergeCell ref="J147:K147"/>
    <mergeCell ref="B105:K105"/>
    <mergeCell ref="B106:K106"/>
    <mergeCell ref="B108:K108"/>
    <mergeCell ref="C114:D114"/>
    <mergeCell ref="C123:D123"/>
    <mergeCell ref="C148:D148"/>
    <mergeCell ref="J148:K148"/>
    <mergeCell ref="B128:K128"/>
    <mergeCell ref="B130:K130"/>
    <mergeCell ref="C133:D133"/>
    <mergeCell ref="H133:I133"/>
    <mergeCell ref="C134:D134"/>
    <mergeCell ref="H134:I134"/>
    <mergeCell ref="G50:H50"/>
    <mergeCell ref="I51:K51"/>
    <mergeCell ref="B52:K52"/>
    <mergeCell ref="B53:K53"/>
    <mergeCell ref="B58:K58"/>
    <mergeCell ref="C117:D117"/>
    <mergeCell ref="B85:K85"/>
    <mergeCell ref="B86:K86"/>
    <mergeCell ref="B88:K88"/>
    <mergeCell ref="B90:K90"/>
    <mergeCell ref="B55:K55"/>
    <mergeCell ref="B57:K57"/>
    <mergeCell ref="C74:D74"/>
    <mergeCell ref="F23:G23"/>
    <mergeCell ref="B30:K30"/>
    <mergeCell ref="B31:K31"/>
    <mergeCell ref="B33:K33"/>
    <mergeCell ref="B35:K35"/>
    <mergeCell ref="C41:D41"/>
    <mergeCell ref="B48:C48"/>
    <mergeCell ref="B6:K6"/>
    <mergeCell ref="B7:K7"/>
    <mergeCell ref="B8:K8"/>
    <mergeCell ref="B10:K10"/>
    <mergeCell ref="B12:K12"/>
    <mergeCell ref="C25:D25"/>
    <mergeCell ref="C77:D77"/>
    <mergeCell ref="C80:D80"/>
    <mergeCell ref="C83:D83"/>
    <mergeCell ref="C100:D100"/>
    <mergeCell ref="B110:K110"/>
    <mergeCell ref="B126:K126"/>
    <mergeCell ref="B125:K125"/>
    <mergeCell ref="C94:D94"/>
    <mergeCell ref="C97:D97"/>
    <mergeCell ref="C120:D120"/>
  </mergeCells>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dimension ref="A1:A40"/>
  <sheetViews>
    <sheetView zoomScalePageLayoutView="0" workbookViewId="0" topLeftCell="A1">
      <selection activeCell="N79" sqref="N79"/>
    </sheetView>
  </sheetViews>
  <sheetFormatPr defaultColWidth="8.796875" defaultRowHeight="15"/>
  <cols>
    <col min="1" max="1" width="71.19921875" style="0" customWidth="1"/>
  </cols>
  <sheetData>
    <row r="1" ht="16.5">
      <c r="A1" s="442" t="s">
        <v>685</v>
      </c>
    </row>
    <row r="3" ht="31.5">
      <c r="A3" s="443" t="s">
        <v>686</v>
      </c>
    </row>
    <row r="4" ht="15.75">
      <c r="A4" s="444" t="s">
        <v>687</v>
      </c>
    </row>
    <row r="7" ht="31.5">
      <c r="A7" s="443" t="s">
        <v>688</v>
      </c>
    </row>
    <row r="8" ht="15.75">
      <c r="A8" s="444" t="s">
        <v>689</v>
      </c>
    </row>
    <row r="11" ht="15.75">
      <c r="A11" s="441" t="s">
        <v>690</v>
      </c>
    </row>
    <row r="12" ht="15.75">
      <c r="A12" s="714" t="s">
        <v>691</v>
      </c>
    </row>
    <row r="15" ht="15.75">
      <c r="A15" s="441" t="s">
        <v>692</v>
      </c>
    </row>
    <row r="16" ht="15.75">
      <c r="A16" s="714" t="s">
        <v>693</v>
      </c>
    </row>
    <row r="19" ht="15.75">
      <c r="A19" s="441" t="s">
        <v>694</v>
      </c>
    </row>
    <row r="20" ht="15.75">
      <c r="A20" s="444" t="s">
        <v>695</v>
      </c>
    </row>
    <row r="23" ht="15.75">
      <c r="A23" s="441" t="s">
        <v>696</v>
      </c>
    </row>
    <row r="24" ht="15.75">
      <c r="A24" s="714" t="s">
        <v>697</v>
      </c>
    </row>
    <row r="27" ht="15.75">
      <c r="A27" s="441" t="s">
        <v>698</v>
      </c>
    </row>
    <row r="28" ht="15.75">
      <c r="A28" s="444" t="s">
        <v>699</v>
      </c>
    </row>
    <row r="31" ht="15.75">
      <c r="A31" s="441" t="s">
        <v>700</v>
      </c>
    </row>
    <row r="32" ht="15.75">
      <c r="A32" s="444" t="s">
        <v>701</v>
      </c>
    </row>
    <row r="35" ht="15.75">
      <c r="A35" s="441" t="s">
        <v>702</v>
      </c>
    </row>
    <row r="36" ht="15.75">
      <c r="A36" s="444" t="s">
        <v>703</v>
      </c>
    </row>
    <row r="39" ht="15.75">
      <c r="A39" s="441" t="s">
        <v>704</v>
      </c>
    </row>
    <row r="40" ht="15.75">
      <c r="A40" s="444" t="s">
        <v>705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B1:G76"/>
  <sheetViews>
    <sheetView zoomScale="90" zoomScaleNormal="90" zoomScalePageLayoutView="0" workbookViewId="0" topLeftCell="A1">
      <selection activeCell="S164" sqref="S164"/>
    </sheetView>
  </sheetViews>
  <sheetFormatPr defaultColWidth="8.796875" defaultRowHeight="15"/>
  <cols>
    <col min="1" max="1" width="8.8984375" style="31" customWidth="1"/>
    <col min="2" max="2" width="23.796875" style="31" customWidth="1"/>
    <col min="3" max="3" width="11.296875" style="31" customWidth="1"/>
    <col min="4" max="4" width="5.796875" style="31" customWidth="1"/>
    <col min="5" max="6" width="15.796875" style="31" customWidth="1"/>
    <col min="7" max="7" width="17.796875" style="31" customWidth="1"/>
    <col min="8" max="16384" width="8.8984375" style="31" customWidth="1"/>
  </cols>
  <sheetData>
    <row r="1" spans="2:7" ht="15.75">
      <c r="B1" s="80"/>
      <c r="C1" s="80"/>
      <c r="D1" s="80"/>
      <c r="E1" s="80"/>
      <c r="F1" s="80"/>
      <c r="G1" s="80">
        <f>inputPrYr!C5</f>
        <v>0</v>
      </c>
    </row>
    <row r="2" spans="2:7" ht="15.75">
      <c r="B2" s="825" t="s">
        <v>155</v>
      </c>
      <c r="C2" s="825"/>
      <c r="D2" s="825"/>
      <c r="E2" s="825"/>
      <c r="F2" s="825"/>
      <c r="G2" s="825"/>
    </row>
    <row r="3" spans="2:7" ht="15.75">
      <c r="B3" s="45"/>
      <c r="C3" s="45"/>
      <c r="D3" s="45"/>
      <c r="E3" s="45"/>
      <c r="F3" s="45"/>
      <c r="G3" s="45"/>
    </row>
    <row r="4" spans="2:7" ht="15.75">
      <c r="B4" s="828" t="str">
        <f>CONCATENATE("To the Clerk of ",inputPrYr!C3,", State of Kansas")</f>
        <v>To the Clerk of , State of Kansas</v>
      </c>
      <c r="C4" s="829"/>
      <c r="D4" s="829"/>
      <c r="E4" s="829"/>
      <c r="F4" s="829"/>
      <c r="G4" s="829"/>
    </row>
    <row r="5" spans="2:7" ht="15.75">
      <c r="B5" s="109" t="s">
        <v>230</v>
      </c>
      <c r="C5" s="52"/>
      <c r="D5" s="52"/>
      <c r="E5" s="52"/>
      <c r="F5" s="52"/>
      <c r="G5" s="52"/>
    </row>
    <row r="6" spans="2:7" ht="15.75">
      <c r="B6" s="803">
        <f>(inputPrYr!C3)</f>
        <v>0</v>
      </c>
      <c r="C6" s="827"/>
      <c r="D6" s="827"/>
      <c r="E6" s="827"/>
      <c r="F6" s="827"/>
      <c r="G6" s="827"/>
    </row>
    <row r="7" spans="2:7" ht="15.75">
      <c r="B7" s="109" t="s">
        <v>22</v>
      </c>
      <c r="C7" s="52"/>
      <c r="D7" s="52"/>
      <c r="E7" s="52"/>
      <c r="F7" s="52"/>
      <c r="G7" s="52"/>
    </row>
    <row r="8" spans="2:7" ht="15.75">
      <c r="B8" s="109" t="s">
        <v>23</v>
      </c>
      <c r="C8" s="52"/>
      <c r="D8" s="52"/>
      <c r="E8" s="52"/>
      <c r="F8" s="52"/>
      <c r="G8" s="52"/>
    </row>
    <row r="9" spans="2:7" ht="15.75">
      <c r="B9" s="109" t="str">
        <f>CONCATENATE("maximum expenditure for the various funds for the year ",G1,"; and")</f>
        <v>maximum expenditure for the various funds for the year 0; and</v>
      </c>
      <c r="C9" s="52"/>
      <c r="D9" s="52"/>
      <c r="E9" s="52"/>
      <c r="F9" s="52"/>
      <c r="G9" s="52"/>
    </row>
    <row r="10" spans="2:7" ht="15.75">
      <c r="B10" s="109" t="str">
        <f>CONCATENATE("(3) the Amount(s) of ",G1-1," Ad Valorem Tax are within statutory limitations.")</f>
        <v>(3) the Amount(s) of -1 Ad Valorem Tax are within statutory limitations.</v>
      </c>
      <c r="C10" s="52"/>
      <c r="D10" s="52"/>
      <c r="E10" s="52"/>
      <c r="F10" s="52"/>
      <c r="G10" s="52"/>
    </row>
    <row r="11" spans="2:7" ht="15.75">
      <c r="B11" s="44"/>
      <c r="C11" s="45"/>
      <c r="D11" s="45"/>
      <c r="E11" s="110"/>
      <c r="F11" s="110"/>
      <c r="G11" s="110"/>
    </row>
    <row r="12" spans="2:7" ht="15.75">
      <c r="B12" s="45"/>
      <c r="C12" s="45"/>
      <c r="D12" s="45"/>
      <c r="E12" s="111" t="str">
        <f>CONCATENATE("",G1," Adopted Budget")</f>
        <v>0 Adopted Budget</v>
      </c>
      <c r="F12" s="112"/>
      <c r="G12" s="113"/>
    </row>
    <row r="13" spans="2:7" ht="21" customHeight="1">
      <c r="B13" s="45"/>
      <c r="C13" s="45"/>
      <c r="D13" s="114" t="s">
        <v>24</v>
      </c>
      <c r="E13" s="394" t="s">
        <v>665</v>
      </c>
      <c r="F13" s="826" t="str">
        <f>CONCATENATE("Amount of ",G1-1,"    Ad Valorem Tax")</f>
        <v>Amount of -1    Ad Valorem Tax</v>
      </c>
      <c r="G13" s="114" t="s">
        <v>25</v>
      </c>
    </row>
    <row r="14" spans="2:7" ht="15.75">
      <c r="B14" s="116" t="s">
        <v>26</v>
      </c>
      <c r="C14" s="68"/>
      <c r="D14" s="117" t="s">
        <v>27</v>
      </c>
      <c r="E14" s="395" t="s">
        <v>666</v>
      </c>
      <c r="F14" s="818"/>
      <c r="G14" s="117" t="s">
        <v>29</v>
      </c>
    </row>
    <row r="15" spans="2:7" ht="15.75">
      <c r="B15" s="118" t="str">
        <f>CONCATENATE("Computation to Determine Limit for ",G1,"")</f>
        <v>Computation to Determine Limit for 0</v>
      </c>
      <c r="C15" s="119"/>
      <c r="D15" s="117">
        <v>2</v>
      </c>
      <c r="E15" s="120"/>
      <c r="F15" s="120"/>
      <c r="G15" s="120"/>
    </row>
    <row r="16" spans="2:7" ht="15.75">
      <c r="B16" s="118" t="s">
        <v>852</v>
      </c>
      <c r="C16" s="119"/>
      <c r="D16" s="117">
        <v>3</v>
      </c>
      <c r="E16" s="120"/>
      <c r="F16" s="120"/>
      <c r="G16" s="120"/>
    </row>
    <row r="17" spans="2:7" ht="15.75">
      <c r="B17" s="118" t="s">
        <v>199</v>
      </c>
      <c r="C17" s="119"/>
      <c r="D17" s="117">
        <v>4</v>
      </c>
      <c r="E17" s="120"/>
      <c r="F17" s="120"/>
      <c r="G17" s="120"/>
    </row>
    <row r="18" spans="2:7" ht="15.75">
      <c r="B18" s="121" t="s">
        <v>30</v>
      </c>
      <c r="C18" s="122"/>
      <c r="D18" s="123">
        <v>5</v>
      </c>
      <c r="E18" s="124"/>
      <c r="F18" s="124"/>
      <c r="G18" s="124"/>
    </row>
    <row r="19" spans="2:7" ht="15.75">
      <c r="B19" s="118" t="s">
        <v>31</v>
      </c>
      <c r="C19" s="119"/>
      <c r="D19" s="125">
        <v>6</v>
      </c>
      <c r="E19" s="124"/>
      <c r="F19" s="124"/>
      <c r="G19" s="124"/>
    </row>
    <row r="20" spans="2:7" ht="15.75">
      <c r="B20" s="126" t="s">
        <v>32</v>
      </c>
      <c r="C20" s="127" t="s">
        <v>33</v>
      </c>
      <c r="D20" s="128"/>
      <c r="E20" s="129"/>
      <c r="F20" s="129"/>
      <c r="G20" s="129"/>
    </row>
    <row r="21" spans="2:7" ht="15.75">
      <c r="B21" s="59" t="s">
        <v>18</v>
      </c>
      <c r="C21" s="130" t="str">
        <f>inputPrYr!C17</f>
        <v>79-1946</v>
      </c>
      <c r="D21" s="123">
        <v>7</v>
      </c>
      <c r="E21" s="209" t="str">
        <f>IF(general!$E$117&lt;&gt;0,general!$E$117,"  ")</f>
        <v>  </v>
      </c>
      <c r="F21" s="468" t="str">
        <f>IF(general!$E$124&lt;&gt;0,general!$E$124,"  ")</f>
        <v>  </v>
      </c>
      <c r="G21" s="131" t="str">
        <f>IF(AND(general!E124=0,$G$60&gt;=0)," ",IF(AND(F21&gt;0,$G$60=0)," ",IF(AND(F21&gt;0,$G$60&gt;0),ROUND(F21/$G$60*1000,3))))</f>
        <v> </v>
      </c>
    </row>
    <row r="22" spans="2:7" ht="15.75">
      <c r="B22" s="59" t="s">
        <v>81</v>
      </c>
      <c r="C22" s="130" t="s">
        <v>222</v>
      </c>
      <c r="D22" s="123">
        <f>IF(DebtService!C61&gt;0,DebtService!C61,"")</f>
      </c>
      <c r="E22" s="209" t="str">
        <f>IF(DebtService!$E$52&lt;&gt;0,DebtService!$E$52,"  ")</f>
        <v>  </v>
      </c>
      <c r="F22" s="468" t="str">
        <f>IF(DebtService!$E$59&lt;&gt;0,DebtService!$E$59,"  ")</f>
        <v>  </v>
      </c>
      <c r="G22" s="131" t="str">
        <f>IF(AND(DebtService!E59=0,$G$60&gt;=0)," ",IF(AND(F22&gt;0,$G$60=0)," ",IF(AND(F22&gt;0,$G$60&gt;0),ROUND(F22/$G$60*1000,3))))</f>
        <v> </v>
      </c>
    </row>
    <row r="23" spans="2:7" ht="15.75">
      <c r="B23" s="59" t="s">
        <v>107</v>
      </c>
      <c r="C23" s="130" t="str">
        <f>inputPrYr!C19</f>
        <v>68-5,101</v>
      </c>
      <c r="D23" s="123">
        <f>IF(road!C60&gt;0,road!C60,"")</f>
      </c>
      <c r="E23" s="209" t="str">
        <f>IF(road!$E$113&lt;&gt;0,road!$E$113,"  ")</f>
        <v>  </v>
      </c>
      <c r="F23" s="468" t="str">
        <f>IF(road!$E$120&lt;&gt;0,road!$E$120,"  ")</f>
        <v>  </v>
      </c>
      <c r="G23" s="131" t="str">
        <f>IF(AND(road!E120=0,$G$60&gt;=0)," ",IF(AND(F23&gt;0,$G$60=0)," ",IF(AND(F23&gt;0,$G$60&gt;0),ROUND(F23/$G$60*1000,3))))</f>
        <v> </v>
      </c>
    </row>
    <row r="24" spans="2:7" ht="15.75">
      <c r="B24" s="81" t="str">
        <f>IF((inputPrYr!$B20&gt;"  "),(inputPrYr!$B20),"  ")</f>
        <v>  </v>
      </c>
      <c r="C24" s="130" t="str">
        <f>IF((inputPrYr!C20&gt;0),(inputPrYr!C20),"  ")</f>
        <v>  </v>
      </c>
      <c r="D24" s="123" t="str">
        <f>IF('levy page10'!C85&gt;0,'levy page10'!C85,"  ")</f>
        <v>  </v>
      </c>
      <c r="E24" s="209" t="str">
        <f>IF('levy page10'!$E$35&lt;&gt;0,'levy page10'!$E$35,"  ")</f>
        <v>  </v>
      </c>
      <c r="F24" s="468" t="str">
        <f>IF('levy page10'!$E$42&lt;&gt;0,'levy page10'!$E$42,"  ")</f>
        <v>  </v>
      </c>
      <c r="G24" s="131" t="str">
        <f>IF(AND('levy page10'!E42=0,$G$60&gt;=0)," ",IF(AND(F24&gt;0,$G$60=0)," ",IF(AND(F24&gt;0,$G$60&gt;0),ROUND(F24/$G$60*1000,3))))</f>
        <v> </v>
      </c>
    </row>
    <row r="25" spans="2:7" ht="15.75">
      <c r="B25" s="81" t="str">
        <f>IF((inputPrYr!$B21&gt;"  "),(inputPrYr!$B21),"  ")</f>
        <v>  </v>
      </c>
      <c r="C25" s="130" t="str">
        <f>IF((inputPrYr!C21&gt;0),(inputPrYr!C21),"  ")</f>
        <v>  </v>
      </c>
      <c r="D25" s="123" t="str">
        <f>IF('levy page10'!C85&gt;0,'levy page10'!C85,"  ")</f>
        <v>  </v>
      </c>
      <c r="E25" s="209" t="str">
        <f>IF('levy page10'!$E$77&lt;&gt;0,'levy page10'!$E$77,"  ")</f>
        <v>  </v>
      </c>
      <c r="F25" s="468" t="str">
        <f>IF('levy page10'!$E$84&lt;&gt;0,'levy page10'!$E$84,"  ")</f>
        <v>  </v>
      </c>
      <c r="G25" s="131" t="str">
        <f>IF(AND('levy page10'!E84=0,$G$60&gt;=0)," ",IF(AND(F25&gt;0,$G$60=0)," ",IF(AND(F25&gt;0,$G$60&gt;0),ROUND(F25/$G$60*1000,3))))</f>
        <v> </v>
      </c>
    </row>
    <row r="26" spans="2:7" ht="15.75">
      <c r="B26" s="81" t="str">
        <f>IF((inputPrYr!$B22&gt;"  "),(inputPrYr!$B22),"  ")</f>
        <v>  </v>
      </c>
      <c r="C26" s="130" t="str">
        <f>IF((inputPrYr!C22&gt;0),(inputPrYr!C22),"  ")</f>
        <v>  </v>
      </c>
      <c r="D26" s="123" t="str">
        <f>IF('levy page11'!C85&gt;0,'levy page11'!C85,"  ")</f>
        <v>  </v>
      </c>
      <c r="E26" s="209" t="str">
        <f>IF('levy page11'!$E$35&lt;&gt;0,'levy page11'!$E$35,"  ")</f>
        <v>  </v>
      </c>
      <c r="F26" s="468" t="str">
        <f>IF('levy page11'!$E$42&lt;&gt;0,'levy page11'!$E$42,"  ")</f>
        <v>  </v>
      </c>
      <c r="G26" s="131" t="str">
        <f>IF(AND('levy page11'!E42=0,$G$60&gt;=0)," ",IF(AND(F26&gt;0,$G$60=0)," ",IF(AND(F26&gt;0,$G$60&gt;0),ROUND(F26/$G$60*1000,3))))</f>
        <v> </v>
      </c>
    </row>
    <row r="27" spans="2:7" ht="15.75">
      <c r="B27" s="81" t="str">
        <f>IF((inputPrYr!$B23&gt;"  "),(inputPrYr!$B23),"  ")</f>
        <v>  </v>
      </c>
      <c r="C27" s="130" t="str">
        <f>IF((inputPrYr!C23&gt;0),(inputPrYr!C23),"  ")</f>
        <v>  </v>
      </c>
      <c r="D27" s="123" t="str">
        <f>IF('levy page11'!C85&gt;0,'levy page11'!C85,"  ")</f>
        <v>  </v>
      </c>
      <c r="E27" s="209" t="str">
        <f>IF('levy page11'!$E$77&lt;&gt;0,'levy page11'!$E$77,"  ")</f>
        <v>  </v>
      </c>
      <c r="F27" s="468" t="str">
        <f>IF('levy page11'!$E$84&lt;&gt;0,'levy page11'!$E$84,"  ")</f>
        <v>  </v>
      </c>
      <c r="G27" s="131" t="str">
        <f>IF(AND('levy page11'!E84=0,$G$60&gt;=0)," ",IF(AND(F27&gt;0,$G$60=0)," ",IF(AND(F27&gt;0,$G$60&gt;0),ROUND(F27/$G$60*1000,3))))</f>
        <v> </v>
      </c>
    </row>
    <row r="28" spans="2:7" ht="15.75">
      <c r="B28" s="81" t="str">
        <f>IF((inputPrYr!$B24&gt;"  "),(inputPrYr!$B24),"  ")</f>
        <v>  </v>
      </c>
      <c r="C28" s="130" t="str">
        <f>IF((inputPrYr!C24&gt;0),(inputPrYr!C24),"  ")</f>
        <v>  </v>
      </c>
      <c r="D28" s="123" t="str">
        <f>IF('levy page12'!C85&gt;0,'levy page12'!C85,"  ")</f>
        <v>  </v>
      </c>
      <c r="E28" s="209" t="str">
        <f>IF('levy page12'!$E$35&lt;&gt;0,'levy page12'!$E$35,"  ")</f>
        <v>  </v>
      </c>
      <c r="F28" s="468" t="str">
        <f>IF('levy page12'!$E$42&lt;&gt;0,'levy page12'!$E$42,"  ")</f>
        <v>  </v>
      </c>
      <c r="G28" s="131" t="str">
        <f>IF(AND('levy page12'!E42=0,$G$60&gt;=0)," ",IF(AND(F28&gt;0,$G$60=0)," ",IF(AND(F28&gt;0,$G$60&gt;0),ROUND(F28/$G$60*1000,3))))</f>
        <v> </v>
      </c>
    </row>
    <row r="29" spans="2:7" ht="15.75">
      <c r="B29" s="81" t="str">
        <f>IF((inputPrYr!$B25&gt;"  "),(inputPrYr!$B25),"  ")</f>
        <v>  </v>
      </c>
      <c r="C29" s="130" t="str">
        <f>IF((inputPrYr!C25&gt;0),(inputPrYr!C25),"  ")</f>
        <v>  </v>
      </c>
      <c r="D29" s="123" t="str">
        <f>IF('levy page12'!C85&gt;0,'levy page12'!C85,"  ")</f>
        <v>  </v>
      </c>
      <c r="E29" s="209" t="str">
        <f>IF('levy page12'!$E$77&lt;&gt;0,'levy page12'!$E$77,"  ")</f>
        <v>  </v>
      </c>
      <c r="F29" s="468" t="str">
        <f>IF('levy page12'!$E$84&lt;&gt;0,'levy page12'!$E$84,"  ")</f>
        <v>  </v>
      </c>
      <c r="G29" s="131" t="str">
        <f>IF(AND('levy page12'!E84=0,$G$60&gt;=0)," ",IF(AND(F29&gt;0,$G$60=0)," ",IF(AND(F29&gt;0,$G$60&gt;0),ROUND(F29/$G$60*1000,3))))</f>
        <v> </v>
      </c>
    </row>
    <row r="30" spans="2:7" ht="15.75">
      <c r="B30" s="81" t="str">
        <f>IF((inputPrYr!$B26&gt;"  "),(inputPrYr!$B26),"  ")</f>
        <v>  </v>
      </c>
      <c r="C30" s="130" t="str">
        <f>IF((inputPrYr!C26&gt;0),(inputPrYr!C26),"  ")</f>
        <v>  </v>
      </c>
      <c r="D30" s="123" t="str">
        <f>IF('levy page13'!C85&gt;0,'levy page13'!C85,"  ")</f>
        <v>  </v>
      </c>
      <c r="E30" s="209" t="str">
        <f>IF('levy page13'!$E$35&lt;&gt;0,'levy page13'!$E$35,"  ")</f>
        <v>  </v>
      </c>
      <c r="F30" s="468" t="str">
        <f>IF('levy page13'!$E$42&lt;&gt;0,'levy page13'!$E$42,"  ")</f>
        <v>  </v>
      </c>
      <c r="G30" s="131" t="str">
        <f>IF(AND('levy page13'!E42=0,$G$60&gt;=0)," ",IF(AND(F30&gt;0,$G$60=0)," ",IF(AND(F30&gt;0,$G$60&gt;0),ROUND(F30/$G$60*1000,3))))</f>
        <v> </v>
      </c>
    </row>
    <row r="31" spans="2:7" ht="15.75">
      <c r="B31" s="81" t="str">
        <f>IF((inputPrYr!$B27&gt;"  "),(inputPrYr!$B27),"  ")</f>
        <v>  </v>
      </c>
      <c r="C31" s="130" t="str">
        <f>IF((inputPrYr!C27&gt;0),(inputPrYr!C27),"  ")</f>
        <v>  </v>
      </c>
      <c r="D31" s="123" t="str">
        <f>IF('levy page13'!C85&gt;0,'levy page13'!C85,"  ")</f>
        <v>  </v>
      </c>
      <c r="E31" s="209" t="str">
        <f>IF('levy page13'!$E$77&lt;&gt;0,'levy page13'!$E$77,"  ")</f>
        <v>  </v>
      </c>
      <c r="F31" s="468" t="str">
        <f>IF('levy page13'!$E$84&lt;&gt;0,'levy page13'!$E$84,"  ")</f>
        <v>  </v>
      </c>
      <c r="G31" s="131" t="str">
        <f>IF(AND('levy page13'!E84=0,$G$60&gt;=0)," ",IF(AND(F31&gt;0,$G$60=0)," ",IF(AND(F31&gt;0,$G$60&gt;0),ROUND(F31/$G$60*1000,3))))</f>
        <v> </v>
      </c>
    </row>
    <row r="32" spans="2:7" ht="15.75">
      <c r="B32" s="81" t="str">
        <f>IF((inputPrYr!$B28&gt;"  "),(inputPrYr!$B28),"  ")</f>
        <v>  </v>
      </c>
      <c r="C32" s="130" t="str">
        <f>IF((inputPrYr!C28&gt;0),(inputPrYr!C28),"  ")</f>
        <v>  </v>
      </c>
      <c r="D32" s="123" t="str">
        <f>IF('levy page14'!C85&gt;0,'levy page14'!C85,"  ")</f>
        <v>  </v>
      </c>
      <c r="E32" s="209" t="str">
        <f>IF('levy page14'!$E$35&lt;&gt;0,'levy page14'!$E$35,"  ")</f>
        <v>  </v>
      </c>
      <c r="F32" s="468" t="str">
        <f>IF('levy page14'!$E$42&lt;&gt;0,'levy page14'!$E$42,"  ")</f>
        <v>  </v>
      </c>
      <c r="G32" s="131" t="str">
        <f>IF(AND('levy page14'!E42=0,$G$60&gt;=0)," ",IF(AND(F32&gt;0,$G$60=0)," ",IF(AND(F32&gt;0,$G$60&gt;0),ROUND(F32/$G$60*1000,3))))</f>
        <v> </v>
      </c>
    </row>
    <row r="33" spans="2:7" ht="15.75">
      <c r="B33" s="81" t="str">
        <f>IF((inputPrYr!$B29&gt;"  "),(inputPrYr!$B29),"  ")</f>
        <v>  </v>
      </c>
      <c r="C33" s="130" t="str">
        <f>IF((inputPrYr!C29&gt;0),(inputPrYr!C29),"  ")</f>
        <v>  </v>
      </c>
      <c r="D33" s="123" t="str">
        <f>IF('levy page14'!C85&gt;0,'levy page14'!C85,"  ")</f>
        <v>  </v>
      </c>
      <c r="E33" s="209" t="str">
        <f>IF('levy page14'!$E$77&lt;&gt;0,'levy page14'!$E$77,"  ")</f>
        <v>  </v>
      </c>
      <c r="F33" s="468" t="str">
        <f>IF('levy page14'!$E$84&lt;&gt;0,'levy page14'!$E$84,"  ")</f>
        <v>  </v>
      </c>
      <c r="G33" s="131" t="str">
        <f>IF(AND('levy page14'!E84=0,$G$60&gt;=0)," ",IF(AND(F33&gt;0,$G$60=0)," ",IF(AND(F33&gt;0,$G$60&gt;0),ROUND(F33/$G$60*1000,3))))</f>
        <v> </v>
      </c>
    </row>
    <row r="34" spans="2:7" ht="15.75">
      <c r="B34" s="81" t="str">
        <f>IF((inputPrYr!$B30&gt;"  "),(inputPrYr!$B30),"  ")</f>
        <v>  </v>
      </c>
      <c r="C34" s="130" t="str">
        <f>IF((inputPrYr!C30&gt;0),(inputPrYr!C30),"  ")</f>
        <v>  </v>
      </c>
      <c r="D34" s="123" t="str">
        <f>IF('levy page15'!C85&gt;0,'levy page15'!C85,"  ")</f>
        <v>  </v>
      </c>
      <c r="E34" s="209" t="str">
        <f>IF('levy page15'!$E$35&lt;&gt;0,'levy page15'!$E$35,"  ")</f>
        <v>  </v>
      </c>
      <c r="F34" s="468" t="str">
        <f>IF('levy page15'!$E$42&lt;&gt;0,'levy page15'!$E$42,"  ")</f>
        <v>  </v>
      </c>
      <c r="G34" s="131" t="str">
        <f>IF(AND('levy page15'!E42=0,$G$60&gt;=0)," ",IF(AND(F34&gt;0,$G$60=0)," ",IF(AND(F34&gt;0,$G$60&gt;0),ROUND(F34/$G$60*1000,3))))</f>
        <v> </v>
      </c>
    </row>
    <row r="35" spans="2:7" ht="15.75">
      <c r="B35" s="81" t="str">
        <f>IF((inputPrYr!$B31&gt;"  "),(inputPrYr!$B31),"  ")</f>
        <v>  </v>
      </c>
      <c r="C35" s="130" t="str">
        <f>IF((inputPrYr!C31&gt;0),(inputPrYr!C31),"  ")</f>
        <v>  </v>
      </c>
      <c r="D35" s="123" t="str">
        <f>IF('levy page15'!C85&gt;0,'levy page15'!C85,"  ")</f>
        <v>  </v>
      </c>
      <c r="E35" s="209" t="str">
        <f>IF('levy page15'!$E$77&lt;&gt;0,'levy page15'!$E$77,"  ")</f>
        <v>  </v>
      </c>
      <c r="F35" s="468" t="str">
        <f>IF('levy page15'!$E$84&lt;&gt;0,'levy page15'!$E$84,"  ")</f>
        <v>  </v>
      </c>
      <c r="G35" s="131" t="str">
        <f>IF(AND('levy page15'!E84=0,$G$60&gt;=0)," ",IF(AND(F35&gt;0,$G$60=0)," ",IF(AND(F35&gt;0,$G$60&gt;0),ROUND(F35/$G$60*1000,3))))</f>
        <v> </v>
      </c>
    </row>
    <row r="36" spans="2:7" ht="15.75">
      <c r="B36" s="81" t="str">
        <f>IF((inputPrYr!$B32&gt;"  "),(inputPrYr!$B32),"  ")</f>
        <v>  </v>
      </c>
      <c r="C36" s="130" t="str">
        <f>IF((inputPrYr!C32&gt;0),(inputPrYr!C32),"  ")</f>
        <v>  </v>
      </c>
      <c r="D36" s="123" t="str">
        <f>IF('levy page16'!C85&gt;0,'levy page16'!C85,"  ")</f>
        <v>  </v>
      </c>
      <c r="E36" s="209" t="str">
        <f>IF('levy page16'!$E$35&lt;&gt;0,'levy page16'!$E$35,"  ")</f>
        <v>  </v>
      </c>
      <c r="F36" s="468" t="str">
        <f>IF('levy page16'!$E$42&lt;&gt;0,'levy page16'!$E$42,"  ")</f>
        <v>  </v>
      </c>
      <c r="G36" s="131" t="str">
        <f>IF(AND('levy page16'!E42=0,$G$60&gt;=0)," ",IF(AND(F36&gt;0,$G$60=0)," ",IF(AND(F36&gt;0,$G$60&gt;0),ROUND(F36/$G$60*1000,3))))</f>
        <v> </v>
      </c>
    </row>
    <row r="37" spans="2:7" ht="15.75">
      <c r="B37" s="81" t="str">
        <f>IF((inputPrYr!$B33&gt;"  "),(inputPrYr!$B33),"  ")</f>
        <v>  </v>
      </c>
      <c r="C37" s="130" t="str">
        <f>IF((inputPrYr!C33&gt;0),(inputPrYr!C33),"  ")</f>
        <v>  </v>
      </c>
      <c r="D37" s="123" t="str">
        <f>IF('levy page16'!C85&gt;0,'levy page16'!C85,"  ")</f>
        <v>  </v>
      </c>
      <c r="E37" s="209" t="str">
        <f>IF('levy page16'!$E$77&lt;&gt;0,'levy page16'!$E$77,"  ")</f>
        <v>  </v>
      </c>
      <c r="F37" s="468" t="str">
        <f>IF('levy page16'!$E$84&lt;&gt;0,'levy page16'!$E$84,"  ")</f>
        <v>  </v>
      </c>
      <c r="G37" s="131" t="str">
        <f>IF(AND('levy page16'!E84=0,$G$60&gt;=0)," ",IF(AND(F37&gt;0,$G$60=0)," ",IF(AND(F37&gt;0,$G$60&gt;0),ROUND(F37/$G$60*1000,3))))</f>
        <v> </v>
      </c>
    </row>
    <row r="38" spans="2:7" ht="15.75">
      <c r="B38" s="81" t="str">
        <f>IF((inputPrYr!$B34&gt;"  "),(inputPrYr!$B34),"  ")</f>
        <v>  </v>
      </c>
      <c r="C38" s="130" t="str">
        <f>IF((inputPrYr!C34&gt;0),(inputPrYr!C34),"  ")</f>
        <v>  </v>
      </c>
      <c r="D38" s="123" t="str">
        <f>IF('levy page17'!C85&gt;0,'levy page17'!C85,"  ")</f>
        <v>  </v>
      </c>
      <c r="E38" s="209" t="str">
        <f>IF('levy page17'!$E$35&lt;&gt;0,'levy page17'!$E$35,"  ")</f>
        <v>  </v>
      </c>
      <c r="F38" s="468" t="str">
        <f>IF('levy page17'!$E$42&lt;&gt;0,'levy page17'!$E$42,"  ")</f>
        <v>  </v>
      </c>
      <c r="G38" s="131" t="str">
        <f>IF(AND('levy page17'!E42=0,$G$60&gt;=0)," ",IF(AND(F38&gt;0,$G$60=0)," ",IF(AND(F38&gt;0,$G$60&gt;0),ROUND(F38/$G$60*1000,3))))</f>
        <v> </v>
      </c>
    </row>
    <row r="39" spans="2:7" ht="15.75">
      <c r="B39" s="81" t="str">
        <f>IF((inputPrYr!$B35&gt;"  "),(inputPrYr!$B35),"  ")</f>
        <v>  </v>
      </c>
      <c r="C39" s="130" t="str">
        <f>IF((inputPrYr!C35&gt;0),(inputPrYr!C35),"  ")</f>
        <v>  </v>
      </c>
      <c r="D39" s="123" t="str">
        <f>IF('levy page17'!C85&gt;0,'levy page17'!C85,"  ")</f>
        <v>  </v>
      </c>
      <c r="E39" s="209" t="str">
        <f>IF('levy page17'!$E$77&lt;&gt;0,'levy page17'!$E$77,"  ")</f>
        <v>  </v>
      </c>
      <c r="F39" s="468" t="str">
        <f>IF('levy page17'!$E$84&lt;&gt;0,'levy page17'!$E$84,"  ")</f>
        <v>  </v>
      </c>
      <c r="G39" s="131" t="str">
        <f>IF(AND('levy page17'!E84=0,$G$60&gt;=0)," ",IF(AND(F39&gt;0,$G$60=0)," ",IF(AND(F39&gt;0,$G$60&gt;0),ROUND(F39/$G$60*1000,3))))</f>
        <v> </v>
      </c>
    </row>
    <row r="40" spans="2:7" ht="15.75">
      <c r="B40" s="81" t="str">
        <f>IF((inputPrYr!$B36&gt;"  "),(inputPrYr!$B36),"  ")</f>
        <v>  </v>
      </c>
      <c r="C40" s="130" t="str">
        <f>IF((inputPrYr!C36&gt;0),(inputPrYr!C36),"  ")</f>
        <v>  </v>
      </c>
      <c r="D40" s="123" t="str">
        <f>IF('levy page18'!C85&gt;0,'levy page18'!C85,"  ")</f>
        <v>  </v>
      </c>
      <c r="E40" s="209" t="str">
        <f>IF('levy page18'!$E$35&lt;&gt;0,'levy page18'!$E$35,"  ")</f>
        <v>  </v>
      </c>
      <c r="F40" s="468" t="str">
        <f>IF('levy page18'!$E$42&lt;&gt;0,'levy page18'!$E$42,"  ")</f>
        <v>  </v>
      </c>
      <c r="G40" s="131" t="str">
        <f>IF(AND('levy page18'!E42=0,$G$60&gt;=0)," ",IF(AND(F40&gt;0,$G$60=0)," ",IF(AND(F40&gt;0,$G$60&gt;0),ROUND(F40/$G$60*1000,3))))</f>
        <v> </v>
      </c>
    </row>
    <row r="41" spans="2:7" ht="15.75">
      <c r="B41" s="81" t="str">
        <f>IF((inputPrYr!$B37&gt;"  "),(inputPrYr!$B37),"  ")</f>
        <v>  </v>
      </c>
      <c r="C41" s="130" t="str">
        <f>IF((inputPrYr!C37&gt;0),(inputPrYr!C37),"  ")</f>
        <v>  </v>
      </c>
      <c r="D41" s="123" t="str">
        <f>IF('levy page18'!C85&gt;0,'levy page18'!C85,"  ")</f>
        <v>  </v>
      </c>
      <c r="E41" s="209" t="str">
        <f>IF('levy page18'!$E$77&lt;&gt;0,'levy page18'!$E$77,"  ")</f>
        <v>  </v>
      </c>
      <c r="F41" s="468" t="str">
        <f>IF('levy page18'!$E$84&lt;&gt;0,'levy page18'!$E$84,"  ")</f>
        <v>  </v>
      </c>
      <c r="G41" s="131" t="str">
        <f>IF(AND('levy page18'!E84=0,$G$60&gt;=0)," ",IF(AND(F41&gt;0,$G$60=0)," ",IF(AND(F41&gt;0,$G$60&gt;0),ROUND(F41/$G$60*1000,3))))</f>
        <v> </v>
      </c>
    </row>
    <row r="42" spans="2:7" ht="15.75">
      <c r="B42" s="81" t="str">
        <f>IF((inputPrYr!$B38&gt;"  "),(inputPrYr!$B38),"  ")</f>
        <v>  </v>
      </c>
      <c r="C42" s="130" t="str">
        <f>IF((inputPrYr!C38&gt;0),(inputPrYr!C38),"  ")</f>
        <v>  </v>
      </c>
      <c r="D42" s="123" t="str">
        <f>IF('levy page19'!C85&gt;0,'levy page19'!C85,"  ")</f>
        <v>  </v>
      </c>
      <c r="E42" s="209" t="str">
        <f>IF('levy page19'!$E$35&lt;&gt;0,'levy page19'!$E$35,"  ")</f>
        <v>  </v>
      </c>
      <c r="F42" s="468" t="str">
        <f>IF('levy page19'!$E$42&lt;&gt;0,'levy page19'!$E$42,"  ")</f>
        <v>  </v>
      </c>
      <c r="G42" s="131" t="str">
        <f>IF(AND('levy page19'!E42=0,$G$60&gt;=0)," ",IF(AND(F42&gt;0,$G$60=0)," ",IF(AND(F42&gt;0,$G$60&gt;0),ROUND(F42/$G$60*1000,3))))</f>
        <v> </v>
      </c>
    </row>
    <row r="43" spans="2:7" ht="15.75">
      <c r="B43" s="81" t="str">
        <f>IF((inputPrYr!$B39&gt;"  "),(inputPrYr!$B39),"  ")</f>
        <v>  </v>
      </c>
      <c r="C43" s="130" t="str">
        <f>IF((inputPrYr!C39&gt;0),(inputPrYr!C39),"  ")</f>
        <v>  </v>
      </c>
      <c r="D43" s="123" t="str">
        <f>IF('levy page19'!C85&gt;0,'levy page19'!C85,"  ")</f>
        <v>  </v>
      </c>
      <c r="E43" s="209" t="str">
        <f>IF('levy page19'!$E$77&lt;&gt;0,'levy page19'!$E$77,"  ")</f>
        <v>  </v>
      </c>
      <c r="F43" s="468" t="str">
        <f>IF('levy page19'!$E$84&lt;&gt;0,'levy page19'!$E$84,"  ")</f>
        <v>  </v>
      </c>
      <c r="G43" s="131" t="str">
        <f>IF(AND('levy page19'!E84=0,$G$60&gt;=0)," ",IF(AND(F43&gt;0,$G$60=0)," ",IF(AND(F43&gt;0,$G$60&gt;0),ROUND(F43/$G$60*1000,3))))</f>
        <v> </v>
      </c>
    </row>
    <row r="44" spans="2:7" ht="15.75">
      <c r="B44" s="81" t="str">
        <f>IF((inputPrYr!$B40&gt;"  "),(inputPrYr!$B40),"  ")</f>
        <v>  </v>
      </c>
      <c r="C44" s="130" t="str">
        <f>IF((inputPrYr!C40&gt;0),(inputPrYr!C40),"  ")</f>
        <v>  </v>
      </c>
      <c r="D44" s="123" t="str">
        <f>IF('levy page20'!C85&gt;0,'levy page20'!C85,"  ")</f>
        <v>  </v>
      </c>
      <c r="E44" s="209" t="str">
        <f>IF('levy page20'!$E$35&lt;&gt;0,'levy page20'!$E$35,"  ")</f>
        <v>  </v>
      </c>
      <c r="F44" s="468" t="str">
        <f>IF('levy page20'!$E$42&lt;&gt;0,'levy page20'!$E$42,"  ")</f>
        <v>  </v>
      </c>
      <c r="G44" s="131" t="str">
        <f>IF(AND('levy page20'!E42=0,$G$60&gt;=0)," ",IF(AND(F44&gt;0,$G$60=0)," ",IF(AND(F44&gt;0,$G$60&gt;0),ROUND(F44/$G$60*1000,3))))</f>
        <v> </v>
      </c>
    </row>
    <row r="45" spans="2:7" ht="15.75">
      <c r="B45" s="81" t="str">
        <f>IF((inputPrYr!$B41&gt;"  "),(inputPrYr!$B41),"  ")</f>
        <v>  </v>
      </c>
      <c r="C45" s="130" t="str">
        <f>IF((inputPrYr!C41&gt;0),(inputPrYr!C41),"  ")</f>
        <v>  </v>
      </c>
      <c r="D45" s="123" t="str">
        <f>IF('levy page20'!C85&gt;0,'levy page20'!C85,"  ")</f>
        <v>  </v>
      </c>
      <c r="E45" s="209" t="str">
        <f>IF('levy page20'!$E$77&lt;&gt;0,'levy page20'!$E$77,"  ")</f>
        <v>  </v>
      </c>
      <c r="F45" s="468" t="str">
        <f>IF('levy page20'!$E$84&lt;&gt;0,'levy page20'!$E$84,"  ")</f>
        <v>  </v>
      </c>
      <c r="G45" s="131" t="str">
        <f>IF(AND('levy page20'!E84=0,$G$60&gt;=0)," ",IF(AND(F45&gt;0,$G$60=0)," ",IF(AND(F45&gt;0,$G$60&gt;0),ROUND(F45/$G$60*1000,3))))</f>
        <v> </v>
      </c>
    </row>
    <row r="46" spans="2:7" ht="15.75">
      <c r="B46" s="132" t="str">
        <f>IF((inputPrYr!$B45&gt;"  "),(inputPrYr!$B45),"  ")</f>
        <v>  </v>
      </c>
      <c r="C46" s="119"/>
      <c r="D46" s="133" t="str">
        <f>IF('no levy page21'!C65&gt;0,'no levy page21'!C65,"  ")</f>
        <v>  </v>
      </c>
      <c r="E46" s="209" t="str">
        <f>IF('no levy page21'!$E$28&lt;&gt;0,'no levy page21'!$E$28,"  ")</f>
        <v>  </v>
      </c>
      <c r="F46" s="128"/>
      <c r="G46" s="131"/>
    </row>
    <row r="47" spans="2:7" ht="15.75">
      <c r="B47" s="134" t="str">
        <f>IF((inputPrYr!$B46&gt;"  "),(inputPrYr!$B46),"  ")</f>
        <v>  </v>
      </c>
      <c r="C47" s="119"/>
      <c r="D47" s="125" t="str">
        <f>IF('no levy page21'!C65&gt;0,'no levy page21'!C65,"  ")</f>
        <v>  </v>
      </c>
      <c r="E47" s="209" t="str">
        <f>IF('no levy page21'!$E$59&lt;&gt;0,'no levy page21'!$E$59,"  ")</f>
        <v>  </v>
      </c>
      <c r="F47" s="128"/>
      <c r="G47" s="131"/>
    </row>
    <row r="48" spans="2:7" ht="15.75">
      <c r="B48" s="132" t="str">
        <f>IF((inputPrYr!$B47&gt;"  "),(inputPrYr!$B47),"  ")</f>
        <v>  </v>
      </c>
      <c r="C48" s="135"/>
      <c r="D48" s="125" t="str">
        <f>IF('no levy page22'!C65&gt;0,'no levy page22'!C65,"  ")</f>
        <v>  </v>
      </c>
      <c r="E48" s="209" t="str">
        <f>IF('no levy page22'!$E$28&lt;&gt;0,'no levy page22'!$E$28,"  ")</f>
        <v>  </v>
      </c>
      <c r="F48" s="128"/>
      <c r="G48" s="131"/>
    </row>
    <row r="49" spans="2:7" ht="15.75">
      <c r="B49" s="132" t="str">
        <f>IF((inputPrYr!$B48&gt;"  "),(inputPrYr!$B48),"  ")</f>
        <v>  </v>
      </c>
      <c r="C49" s="122"/>
      <c r="D49" s="125" t="str">
        <f>IF('no levy page22'!C65&gt;0,'no levy page22'!C65,"  ")</f>
        <v>  </v>
      </c>
      <c r="E49" s="209" t="str">
        <f>IF('no levy page22'!$E$59&lt;&gt;0,'no levy page22'!$E$59,"  ")</f>
        <v>  </v>
      </c>
      <c r="F49" s="128"/>
      <c r="G49" s="131"/>
    </row>
    <row r="50" spans="2:7" ht="15.75">
      <c r="B50" s="132" t="str">
        <f>IF((inputPrYr!$B49&gt;"  "),(inputPrYr!$B49),"  ")</f>
        <v>  </v>
      </c>
      <c r="C50" s="122"/>
      <c r="D50" s="125" t="str">
        <f>IF('no levy page23'!C65&gt;0,'no levy page23'!C65,"  ")</f>
        <v>  </v>
      </c>
      <c r="E50" s="209" t="str">
        <f>IF('no levy page23'!$E$28&lt;&gt;0,'no levy page23'!$E$28,"  ")</f>
        <v>  </v>
      </c>
      <c r="F50" s="128"/>
      <c r="G50" s="131"/>
    </row>
    <row r="51" spans="2:7" ht="15.75">
      <c r="B51" s="132" t="str">
        <f>IF((inputPrYr!$B50&gt;"  "),(inputPrYr!$B50),"  ")</f>
        <v>  </v>
      </c>
      <c r="C51" s="122"/>
      <c r="D51" s="125" t="str">
        <f>IF('no levy page23'!C65&gt;0,'no levy page23'!C65,"  ")</f>
        <v>  </v>
      </c>
      <c r="E51" s="209" t="str">
        <f>IF('no levy page23'!$E$59&lt;&gt;0,'no levy page23'!$E$59,"  ")</f>
        <v>  </v>
      </c>
      <c r="F51" s="128"/>
      <c r="G51" s="131"/>
    </row>
    <row r="52" spans="2:7" ht="15.75">
      <c r="B52" s="132" t="str">
        <f>IF((inputPrYr!$B51&gt;"  "),(inputPrYr!$B51),"  ")</f>
        <v>  </v>
      </c>
      <c r="C52" s="122"/>
      <c r="D52" s="125" t="str">
        <f>IF('no levy page24'!C65&gt;0,'no levy page24'!C65,"  ")</f>
        <v>  </v>
      </c>
      <c r="E52" s="209" t="str">
        <f>IF('no levy page24'!$E$28&lt;&gt;0,'no levy page24'!$E$28,"  ")</f>
        <v>  </v>
      </c>
      <c r="F52" s="128"/>
      <c r="G52" s="131"/>
    </row>
    <row r="53" spans="2:7" ht="15.75">
      <c r="B53" s="134" t="str">
        <f>IF((inputPrYr!$B52&gt;"  "),(inputPrYr!$B52),"  ")</f>
        <v>  </v>
      </c>
      <c r="C53" s="122"/>
      <c r="D53" s="125" t="str">
        <f>IF('no levy page24'!C65&gt;0,'no levy page24'!C65,"  ")</f>
        <v>  </v>
      </c>
      <c r="E53" s="209" t="str">
        <f>IF('no levy page24'!$E$59&lt;&gt;0,'no levy page24'!$E$59,"  ")</f>
        <v>  </v>
      </c>
      <c r="F53" s="128"/>
      <c r="G53" s="131"/>
    </row>
    <row r="54" spans="2:7" ht="15.75">
      <c r="B54" s="132" t="str">
        <f>IF((inputPrYr!$B53&gt;"  "),(inputPrYr!$B53),"  ")</f>
        <v>  </v>
      </c>
      <c r="C54" s="122"/>
      <c r="D54" s="133" t="str">
        <f>IF('no levy page25'!C65&gt;0,'no levy page25'!C65,"  ")</f>
        <v>  </v>
      </c>
      <c r="E54" s="209" t="str">
        <f>IF('no levy page25'!$E$28&lt;&gt;0,'no levy page25'!$E$28,"  ")</f>
        <v>  </v>
      </c>
      <c r="F54" s="128"/>
      <c r="G54" s="131"/>
    </row>
    <row r="55" spans="2:7" ht="15.75">
      <c r="B55" s="132" t="str">
        <f>IF((inputPrYr!$B54&gt;"  "),(inputPrYr!$B54),"  ")</f>
        <v>  </v>
      </c>
      <c r="C55" s="122"/>
      <c r="D55" s="133" t="str">
        <f>IF('no levy page25'!C65&gt;0,'no levy page25'!C65,"  ")</f>
        <v>  </v>
      </c>
      <c r="E55" s="209" t="str">
        <f>IF('no levy page25'!$E$59&lt;&gt;0,'no levy page25'!$E$59,"  ")</f>
        <v>  </v>
      </c>
      <c r="F55" s="128"/>
      <c r="G55" s="131"/>
    </row>
    <row r="56" spans="2:7" ht="15.75">
      <c r="B56" s="132" t="str">
        <f>IF((inputPrYr!$B58&gt;"  "),(NonBud!$A3),"  ")</f>
        <v>  </v>
      </c>
      <c r="C56" s="119"/>
      <c r="D56" s="133" t="str">
        <f>IF(NonBud!F33&gt;0,NonBud!F33,"  ")</f>
        <v>  </v>
      </c>
      <c r="E56" s="209"/>
      <c r="F56" s="128"/>
      <c r="G56" s="131"/>
    </row>
    <row r="57" spans="2:7" ht="16.5" thickBot="1">
      <c r="B57" s="136" t="s">
        <v>46</v>
      </c>
      <c r="C57" s="135"/>
      <c r="D57" s="137" t="s">
        <v>35</v>
      </c>
      <c r="E57" s="631">
        <f>SUM(E21:E56)</f>
        <v>0</v>
      </c>
      <c r="F57" s="631">
        <f>SUM(F21:F56)</f>
        <v>0</v>
      </c>
      <c r="G57" s="139">
        <f>IF(SUM(G21:G56)=0,"",SUM(G21:G56))</f>
      </c>
    </row>
    <row r="58" spans="2:7" ht="16.5" thickTop="1">
      <c r="B58" s="140" t="s">
        <v>279</v>
      </c>
      <c r="C58" s="119"/>
      <c r="D58" s="125">
        <f>summ!E68</f>
        <v>0</v>
      </c>
      <c r="E58" s="141"/>
      <c r="F58" s="141"/>
      <c r="G58" s="142"/>
    </row>
    <row r="59" spans="2:7" ht="15.75">
      <c r="B59" s="118" t="s">
        <v>306</v>
      </c>
      <c r="C59" s="119"/>
      <c r="D59" s="125">
        <f>IF(summ2!F42&gt;0,summ2!F42,"")</f>
      </c>
      <c r="E59" s="80"/>
      <c r="F59" s="45"/>
      <c r="G59" s="797" t="s">
        <v>219</v>
      </c>
    </row>
    <row r="60" spans="2:7" ht="15.75">
      <c r="B60" s="832" t="s">
        <v>297</v>
      </c>
      <c r="C60" s="833"/>
      <c r="D60" s="114">
        <f>IF(Nhood!C52&gt;0,Nhood!C52,"")</f>
      </c>
      <c r="E60" s="80"/>
      <c r="F60" s="45"/>
      <c r="G60" s="339"/>
    </row>
    <row r="61" spans="2:7" ht="15.75">
      <c r="B61" s="686"/>
      <c r="C61" s="685"/>
      <c r="D61" s="392"/>
      <c r="E61" s="80"/>
      <c r="F61" s="46"/>
      <c r="G61" s="830" t="str">
        <f>CONCATENATE("November 1, ",G1-1," Total Assessed Valuation")</f>
        <v>November 1, -1 Total Assessed Valuation</v>
      </c>
    </row>
    <row r="62" spans="2:7" ht="15.75">
      <c r="B62" s="736" t="s">
        <v>961</v>
      </c>
      <c r="C62" s="737"/>
      <c r="D62" s="738"/>
      <c r="E62" s="739"/>
      <c r="F62" s="796" t="str">
        <f>IF(F57&gt;1000,IF(F57&gt;computation!J42,"Yes","No"),"No")</f>
        <v>No</v>
      </c>
      <c r="G62" s="831"/>
    </row>
    <row r="63" spans="2:7" ht="15.75">
      <c r="B63" s="50"/>
      <c r="C63" s="46"/>
      <c r="D63" s="50"/>
      <c r="E63" s="46"/>
      <c r="F63" s="45"/>
      <c r="G63" s="46"/>
    </row>
    <row r="64" spans="2:7" ht="15.75">
      <c r="B64" s="50" t="s">
        <v>36</v>
      </c>
      <c r="C64" s="46"/>
      <c r="D64" s="50"/>
      <c r="E64" s="46"/>
      <c r="F64" s="45"/>
      <c r="G64" s="389"/>
    </row>
    <row r="65" spans="2:7" ht="15.75">
      <c r="B65" s="143"/>
      <c r="C65" s="46"/>
      <c r="D65" s="50"/>
      <c r="E65" s="46"/>
      <c r="F65" s="45"/>
      <c r="G65" s="46"/>
    </row>
    <row r="66" spans="2:7" ht="15.75">
      <c r="B66" s="50" t="s">
        <v>218</v>
      </c>
      <c r="C66" s="45"/>
      <c r="D66" s="46"/>
      <c r="E66" s="46"/>
      <c r="F66" s="389"/>
      <c r="G66" s="389"/>
    </row>
    <row r="67" spans="2:7" ht="15.75">
      <c r="B67" s="143"/>
      <c r="C67" s="79"/>
      <c r="D67" s="46" t="s">
        <v>806</v>
      </c>
      <c r="E67" s="46"/>
      <c r="F67" s="46"/>
      <c r="G67" s="46"/>
    </row>
    <row r="68" spans="2:7" ht="15.75">
      <c r="B68" s="144"/>
      <c r="C68" s="45"/>
      <c r="D68" s="46"/>
      <c r="E68" s="46"/>
      <c r="F68" s="549"/>
      <c r="G68" s="549"/>
    </row>
    <row r="69" spans="2:7" ht="15.75">
      <c r="B69" s="45" t="s">
        <v>805</v>
      </c>
      <c r="C69" s="145"/>
      <c r="D69" s="46" t="s">
        <v>806</v>
      </c>
      <c r="E69" s="46"/>
      <c r="F69" s="46"/>
      <c r="G69" s="46"/>
    </row>
    <row r="70" spans="2:7" ht="15.75">
      <c r="B70" s="144"/>
      <c r="C70" s="45"/>
      <c r="D70" s="46"/>
      <c r="E70" s="46"/>
      <c r="F70" s="549"/>
      <c r="G70" s="548"/>
    </row>
    <row r="71" spans="2:7" ht="15.75">
      <c r="B71" s="390" t="s">
        <v>280</v>
      </c>
      <c r="C71" s="146">
        <f>G1-1</f>
        <v>-1</v>
      </c>
      <c r="D71" s="46" t="s">
        <v>806</v>
      </c>
      <c r="E71" s="46"/>
      <c r="F71" s="46"/>
      <c r="G71" s="46"/>
    </row>
    <row r="72" spans="2:7" ht="15.75">
      <c r="B72" s="393"/>
      <c r="C72" s="45"/>
      <c r="D72" s="46"/>
      <c r="E72" s="46"/>
      <c r="F72" s="46"/>
      <c r="G72" s="46"/>
    </row>
    <row r="73" spans="2:7" ht="15.75">
      <c r="B73" s="391"/>
      <c r="C73" s="45"/>
      <c r="D73" s="46" t="s">
        <v>806</v>
      </c>
      <c r="E73" s="46"/>
      <c r="F73" s="46"/>
      <c r="G73" s="46"/>
    </row>
    <row r="74" spans="2:7" ht="15.75">
      <c r="B74" s="392" t="s">
        <v>38</v>
      </c>
      <c r="C74" s="45"/>
      <c r="D74" s="828" t="s">
        <v>37</v>
      </c>
      <c r="E74" s="834"/>
      <c r="F74" s="834"/>
      <c r="G74" s="834"/>
    </row>
    <row r="75" spans="2:7" ht="15.75">
      <c r="B75" s="824"/>
      <c r="C75" s="824"/>
      <c r="D75" s="824"/>
      <c r="E75" s="824"/>
      <c r="F75" s="824"/>
      <c r="G75" s="824"/>
    </row>
    <row r="76" spans="4:7" ht="15.75">
      <c r="D76" s="89"/>
      <c r="F76" s="89"/>
      <c r="G76" s="89"/>
    </row>
  </sheetData>
  <sheetProtection sheet="1"/>
  <mergeCells count="8">
    <mergeCell ref="B75:G75"/>
    <mergeCell ref="B2:G2"/>
    <mergeCell ref="F13:F14"/>
    <mergeCell ref="B6:G6"/>
    <mergeCell ref="B4:G4"/>
    <mergeCell ref="G61:G62"/>
    <mergeCell ref="B60:C60"/>
    <mergeCell ref="D74:G74"/>
  </mergeCells>
  <printOptions/>
  <pageMargins left="0.5" right="0.5" top="0.47" bottom="0.23" header="0.25" footer="0"/>
  <pageSetup blackAndWhite="1" fitToHeight="1" fitToWidth="1" horizontalDpi="120" verticalDpi="120" orientation="portrait" scale="59" r:id="rId1"/>
  <headerFooter alignWithMargins="0">
    <oddHeader>&amp;RState of Kansas
County
</oddHeader>
    <oddFooter>&amp;CPage No. 1</oddFooter>
  </headerFooter>
</worksheet>
</file>

<file path=xl/worksheets/sheet50.xml><?xml version="1.0" encoding="utf-8"?>
<worksheet xmlns="http://schemas.openxmlformats.org/spreadsheetml/2006/main" xmlns:r="http://schemas.openxmlformats.org/officeDocument/2006/relationships">
  <dimension ref="A1:A200"/>
  <sheetViews>
    <sheetView zoomScalePageLayoutView="0" workbookViewId="0" topLeftCell="A1">
      <selection activeCell="M112" sqref="M112"/>
    </sheetView>
  </sheetViews>
  <sheetFormatPr defaultColWidth="8.796875" defaultRowHeight="15"/>
  <cols>
    <col min="1" max="1" width="80.09765625" style="31" customWidth="1"/>
    <col min="2" max="16384" width="8.8984375" style="31" customWidth="1"/>
  </cols>
  <sheetData>
    <row r="1" ht="15.75">
      <c r="A1" s="798" t="s">
        <v>980</v>
      </c>
    </row>
    <row r="2" ht="15.75">
      <c r="A2" s="766" t="s">
        <v>981</v>
      </c>
    </row>
    <row r="4" ht="15.75">
      <c r="A4" s="798" t="s">
        <v>972</v>
      </c>
    </row>
    <row r="5" ht="15.75">
      <c r="A5" s="31" t="s">
        <v>973</v>
      </c>
    </row>
    <row r="7" ht="15.75">
      <c r="A7" s="767" t="s">
        <v>965</v>
      </c>
    </row>
    <row r="8" ht="15.75">
      <c r="A8" s="766" t="s">
        <v>974</v>
      </c>
    </row>
    <row r="9" ht="15.75">
      <c r="A9" s="766" t="s">
        <v>975</v>
      </c>
    </row>
    <row r="10" ht="15.75">
      <c r="A10" s="766" t="s">
        <v>976</v>
      </c>
    </row>
    <row r="11" ht="15.75">
      <c r="A11" s="766" t="s">
        <v>977</v>
      </c>
    </row>
    <row r="12" ht="15.75">
      <c r="A12" s="766" t="s">
        <v>978</v>
      </c>
    </row>
    <row r="13" ht="15.75">
      <c r="A13" s="1" t="s">
        <v>979</v>
      </c>
    </row>
    <row r="15" ht="15.75">
      <c r="A15" s="372" t="s">
        <v>959</v>
      </c>
    </row>
    <row r="16" ht="15.75">
      <c r="A16" s="688" t="s">
        <v>960</v>
      </c>
    </row>
    <row r="18" ht="15.75">
      <c r="A18" s="372" t="s">
        <v>958</v>
      </c>
    </row>
    <row r="19" ht="15.75">
      <c r="A19" s="688" t="s">
        <v>957</v>
      </c>
    </row>
    <row r="21" ht="15.75">
      <c r="A21" s="372" t="s">
        <v>935</v>
      </c>
    </row>
    <row r="22" ht="15.75">
      <c r="A22" s="688" t="s">
        <v>934</v>
      </c>
    </row>
    <row r="24" ht="15.75">
      <c r="A24" s="372" t="s">
        <v>932</v>
      </c>
    </row>
    <row r="25" ht="15.75">
      <c r="A25" s="688" t="s">
        <v>933</v>
      </c>
    </row>
    <row r="27" ht="15.75">
      <c r="A27" s="372" t="s">
        <v>914</v>
      </c>
    </row>
    <row r="28" ht="15.75">
      <c r="A28" s="31" t="s">
        <v>913</v>
      </c>
    </row>
    <row r="30" ht="15.75">
      <c r="A30" s="372" t="s">
        <v>915</v>
      </c>
    </row>
    <row r="31" ht="15.75">
      <c r="A31" s="645" t="s">
        <v>894</v>
      </c>
    </row>
    <row r="33" ht="15.75">
      <c r="A33" s="372" t="s">
        <v>916</v>
      </c>
    </row>
    <row r="34" ht="15.75">
      <c r="A34" s="31" t="s">
        <v>893</v>
      </c>
    </row>
    <row r="36" ht="15.75">
      <c r="A36" s="372" t="s">
        <v>917</v>
      </c>
    </row>
    <row r="37" ht="15.75">
      <c r="A37" s="633" t="s">
        <v>891</v>
      </c>
    </row>
    <row r="39" ht="15.75">
      <c r="A39" s="372" t="s">
        <v>918</v>
      </c>
    </row>
    <row r="40" ht="15.75">
      <c r="A40" s="633" t="s">
        <v>874</v>
      </c>
    </row>
    <row r="41" ht="15.75">
      <c r="A41" s="31" t="s">
        <v>847</v>
      </c>
    </row>
    <row r="42" ht="15.75">
      <c r="A42" s="31" t="s">
        <v>848</v>
      </c>
    </row>
    <row r="43" ht="15.75">
      <c r="A43" s="31" t="s">
        <v>876</v>
      </c>
    </row>
    <row r="44" ht="15.75">
      <c r="A44" s="31" t="s">
        <v>877</v>
      </c>
    </row>
    <row r="45" ht="15.75">
      <c r="A45" s="31" t="s">
        <v>878</v>
      </c>
    </row>
    <row r="46" ht="15.75">
      <c r="A46" s="31" t="s">
        <v>879</v>
      </c>
    </row>
    <row r="47" ht="15.75">
      <c r="A47" s="31" t="s">
        <v>880</v>
      </c>
    </row>
    <row r="48" ht="15.75">
      <c r="A48" s="31" t="s">
        <v>855</v>
      </c>
    </row>
    <row r="49" ht="15.75">
      <c r="A49" s="31" t="s">
        <v>856</v>
      </c>
    </row>
    <row r="50" ht="15.75">
      <c r="A50" s="31" t="s">
        <v>857</v>
      </c>
    </row>
    <row r="51" ht="15.75">
      <c r="A51" s="31" t="s">
        <v>858</v>
      </c>
    </row>
    <row r="52" ht="47.25">
      <c r="A52" s="33" t="s">
        <v>859</v>
      </c>
    </row>
    <row r="53" ht="31.5">
      <c r="A53" s="33" t="s">
        <v>860</v>
      </c>
    </row>
    <row r="54" ht="15.75">
      <c r="A54" s="31" t="s">
        <v>861</v>
      </c>
    </row>
    <row r="55" ht="15.75">
      <c r="A55" s="31" t="s">
        <v>862</v>
      </c>
    </row>
    <row r="56" ht="15.75">
      <c r="A56" s="31" t="s">
        <v>863</v>
      </c>
    </row>
    <row r="57" ht="15.75">
      <c r="A57" s="31" t="s">
        <v>864</v>
      </c>
    </row>
    <row r="58" ht="15.75">
      <c r="A58" s="31" t="s">
        <v>865</v>
      </c>
    </row>
    <row r="59" ht="15.75">
      <c r="A59" s="31" t="s">
        <v>866</v>
      </c>
    </row>
    <row r="60" ht="15.75">
      <c r="A60" s="31" t="s">
        <v>867</v>
      </c>
    </row>
    <row r="61" ht="15.75">
      <c r="A61" s="31" t="s">
        <v>868</v>
      </c>
    </row>
    <row r="62" ht="15.75">
      <c r="A62" s="31" t="s">
        <v>869</v>
      </c>
    </row>
    <row r="63" ht="15.75">
      <c r="A63" s="31" t="s">
        <v>870</v>
      </c>
    </row>
    <row r="64" ht="15.75">
      <c r="A64" s="31" t="s">
        <v>871</v>
      </c>
    </row>
    <row r="65" ht="15.75">
      <c r="A65" s="31" t="s">
        <v>872</v>
      </c>
    </row>
    <row r="67" ht="15.75">
      <c r="A67" s="372" t="s">
        <v>919</v>
      </c>
    </row>
    <row r="68" ht="15.75">
      <c r="A68" s="31" t="s">
        <v>804</v>
      </c>
    </row>
    <row r="70" ht="15.75">
      <c r="A70" s="372" t="s">
        <v>920</v>
      </c>
    </row>
    <row r="71" ht="15.75">
      <c r="A71" s="31" t="s">
        <v>803</v>
      </c>
    </row>
    <row r="73" ht="15.75">
      <c r="A73" s="372" t="s">
        <v>921</v>
      </c>
    </row>
    <row r="74" ht="15.75">
      <c r="A74" s="446" t="s">
        <v>802</v>
      </c>
    </row>
    <row r="76" ht="15.75">
      <c r="A76" s="372" t="s">
        <v>922</v>
      </c>
    </row>
    <row r="77" ht="15.75">
      <c r="A77" s="446" t="s">
        <v>764</v>
      </c>
    </row>
    <row r="78" ht="15.75">
      <c r="A78" s="446" t="s">
        <v>765</v>
      </c>
    </row>
    <row r="79" ht="15.75">
      <c r="A79" s="31" t="s">
        <v>766</v>
      </c>
    </row>
    <row r="80" ht="15.75">
      <c r="A80" s="446" t="s">
        <v>767</v>
      </c>
    </row>
    <row r="81" ht="15.75">
      <c r="A81" s="446" t="s">
        <v>768</v>
      </c>
    </row>
    <row r="82" ht="15.75">
      <c r="A82" s="446" t="s">
        <v>769</v>
      </c>
    </row>
    <row r="83" ht="15.75">
      <c r="A83" s="446" t="s">
        <v>770</v>
      </c>
    </row>
    <row r="84" ht="15.75">
      <c r="A84" s="446" t="s">
        <v>771</v>
      </c>
    </row>
    <row r="85" ht="15.75">
      <c r="A85" s="446" t="s">
        <v>772</v>
      </c>
    </row>
    <row r="86" ht="15.75">
      <c r="A86" s="446" t="s">
        <v>773</v>
      </c>
    </row>
    <row r="87" ht="15.75">
      <c r="A87" s="446" t="s">
        <v>774</v>
      </c>
    </row>
    <row r="88" ht="15.75">
      <c r="A88" s="446" t="s">
        <v>775</v>
      </c>
    </row>
    <row r="89" ht="15.75">
      <c r="A89" s="446" t="s">
        <v>776</v>
      </c>
    </row>
    <row r="90" ht="15.75">
      <c r="A90" s="446" t="s">
        <v>777</v>
      </c>
    </row>
    <row r="91" ht="15.75">
      <c r="A91" s="446" t="s">
        <v>778</v>
      </c>
    </row>
    <row r="92" ht="15.75">
      <c r="A92" s="446" t="s">
        <v>779</v>
      </c>
    </row>
    <row r="93" ht="15.75">
      <c r="A93" s="446" t="s">
        <v>780</v>
      </c>
    </row>
    <row r="94" ht="15.75">
      <c r="A94" s="446" t="s">
        <v>781</v>
      </c>
    </row>
    <row r="95" ht="15.75">
      <c r="A95" s="446" t="s">
        <v>782</v>
      </c>
    </row>
    <row r="96" ht="15.75">
      <c r="A96" s="446" t="s">
        <v>783</v>
      </c>
    </row>
    <row r="97" ht="15.75">
      <c r="A97" s="31" t="s">
        <v>784</v>
      </c>
    </row>
    <row r="99" ht="15.75">
      <c r="A99" s="372" t="s">
        <v>923</v>
      </c>
    </row>
    <row r="100" ht="15.75">
      <c r="A100" s="31" t="s">
        <v>662</v>
      </c>
    </row>
    <row r="101" ht="15.75">
      <c r="A101" s="31" t="s">
        <v>663</v>
      </c>
    </row>
    <row r="102" ht="15.75">
      <c r="A102" s="31" t="s">
        <v>664</v>
      </c>
    </row>
    <row r="104" ht="15.75">
      <c r="A104" s="378" t="s">
        <v>924</v>
      </c>
    </row>
    <row r="105" ht="15.75">
      <c r="A105" s="31" t="s">
        <v>661</v>
      </c>
    </row>
    <row r="107" ht="15.75">
      <c r="A107" s="372" t="s">
        <v>925</v>
      </c>
    </row>
    <row r="108" ht="15.75">
      <c r="A108" s="375" t="s">
        <v>424</v>
      </c>
    </row>
    <row r="109" ht="15.75">
      <c r="A109" s="375" t="s">
        <v>425</v>
      </c>
    </row>
    <row r="110" ht="15.75">
      <c r="A110" s="375" t="s">
        <v>426</v>
      </c>
    </row>
    <row r="111" ht="15.75">
      <c r="A111" s="31" t="s">
        <v>649</v>
      </c>
    </row>
    <row r="113" ht="15.75">
      <c r="A113" s="348" t="s">
        <v>926</v>
      </c>
    </row>
    <row r="114" ht="15.75">
      <c r="A114" s="31" t="s">
        <v>362</v>
      </c>
    </row>
    <row r="115" ht="15.75">
      <c r="A115" s="31" t="s">
        <v>363</v>
      </c>
    </row>
    <row r="116" ht="15.75">
      <c r="A116" s="31" t="s">
        <v>364</v>
      </c>
    </row>
    <row r="117" ht="15.75">
      <c r="A117" s="31" t="s">
        <v>365</v>
      </c>
    </row>
    <row r="118" ht="15.75">
      <c r="A118" s="31" t="s">
        <v>366</v>
      </c>
    </row>
    <row r="119" ht="15.75">
      <c r="A119" s="31" t="s">
        <v>392</v>
      </c>
    </row>
    <row r="120" ht="15.75">
      <c r="A120" s="31" t="s">
        <v>393</v>
      </c>
    </row>
    <row r="121" ht="15.75">
      <c r="A121" s="31" t="s">
        <v>394</v>
      </c>
    </row>
    <row r="122" ht="15.75">
      <c r="A122" s="31" t="s">
        <v>395</v>
      </c>
    </row>
    <row r="123" ht="15.75">
      <c r="A123" s="31" t="s">
        <v>396</v>
      </c>
    </row>
    <row r="124" ht="15.75">
      <c r="A124" s="31" t="s">
        <v>413</v>
      </c>
    </row>
    <row r="125" ht="15.75">
      <c r="A125" s="356" t="s">
        <v>414</v>
      </c>
    </row>
    <row r="127" ht="15.75">
      <c r="A127" s="348" t="s">
        <v>927</v>
      </c>
    </row>
    <row r="128" ht="15.75">
      <c r="A128" s="31" t="s">
        <v>358</v>
      </c>
    </row>
    <row r="130" ht="15.75">
      <c r="A130" s="348" t="s">
        <v>928</v>
      </c>
    </row>
    <row r="131" ht="15.75">
      <c r="A131" s="31" t="s">
        <v>357</v>
      </c>
    </row>
    <row r="132" ht="15.75">
      <c r="A132" s="31" t="s">
        <v>356</v>
      </c>
    </row>
    <row r="134" ht="15.75">
      <c r="A134" s="348" t="s">
        <v>332</v>
      </c>
    </row>
    <row r="135" ht="15.75">
      <c r="A135" s="31" t="s">
        <v>318</v>
      </c>
    </row>
    <row r="136" ht="15.75">
      <c r="A136" s="31" t="s">
        <v>319</v>
      </c>
    </row>
    <row r="137" ht="15.75">
      <c r="A137" s="31" t="s">
        <v>320</v>
      </c>
    </row>
    <row r="138" ht="15.75">
      <c r="A138" s="31" t="s">
        <v>321</v>
      </c>
    </row>
    <row r="139" ht="15.75">
      <c r="A139" s="31" t="s">
        <v>322</v>
      </c>
    </row>
    <row r="140" ht="15.75">
      <c r="A140" s="31" t="s">
        <v>323</v>
      </c>
    </row>
    <row r="141" ht="31.5">
      <c r="A141" s="33" t="s">
        <v>324</v>
      </c>
    </row>
    <row r="142" ht="31.5">
      <c r="A142" s="33" t="s">
        <v>333</v>
      </c>
    </row>
    <row r="143" ht="15.75">
      <c r="A143" s="33" t="s">
        <v>325</v>
      </c>
    </row>
    <row r="144" ht="15.75">
      <c r="A144" s="33" t="s">
        <v>326</v>
      </c>
    </row>
    <row r="145" ht="31.5">
      <c r="A145" s="33" t="s">
        <v>327</v>
      </c>
    </row>
    <row r="146" ht="15.75">
      <c r="A146" s="31" t="s">
        <v>334</v>
      </c>
    </row>
    <row r="147" ht="31.5">
      <c r="A147" s="33" t="s">
        <v>328</v>
      </c>
    </row>
    <row r="148" ht="15.75">
      <c r="A148" s="31" t="s">
        <v>329</v>
      </c>
    </row>
    <row r="149" ht="15.75">
      <c r="A149" s="31" t="s">
        <v>330</v>
      </c>
    </row>
    <row r="150" ht="15.75">
      <c r="A150" s="31" t="s">
        <v>331</v>
      </c>
    </row>
    <row r="151" ht="15.75">
      <c r="A151" s="31" t="s">
        <v>337</v>
      </c>
    </row>
    <row r="152" ht="31.5">
      <c r="A152" s="33" t="s">
        <v>335</v>
      </c>
    </row>
    <row r="153" ht="15.75">
      <c r="A153" s="31" t="s">
        <v>336</v>
      </c>
    </row>
    <row r="155" ht="15.75">
      <c r="A155" s="348" t="s">
        <v>347</v>
      </c>
    </row>
    <row r="156" ht="15.75">
      <c r="A156" s="31" t="s">
        <v>353</v>
      </c>
    </row>
    <row r="157" ht="15.75">
      <c r="A157" s="31" t="s">
        <v>348</v>
      </c>
    </row>
    <row r="158" ht="15.75">
      <c r="A158" s="31" t="s">
        <v>349</v>
      </c>
    </row>
    <row r="159" ht="15.75">
      <c r="A159" s="31" t="s">
        <v>367</v>
      </c>
    </row>
    <row r="161" ht="15.75">
      <c r="A161" s="348" t="s">
        <v>342</v>
      </c>
    </row>
    <row r="162" ht="15.75">
      <c r="A162" s="31" t="s">
        <v>343</v>
      </c>
    </row>
    <row r="163" ht="31.5">
      <c r="A163" s="33" t="s">
        <v>344</v>
      </c>
    </row>
    <row r="164" ht="15.75">
      <c r="A164" s="31" t="s">
        <v>345</v>
      </c>
    </row>
    <row r="165" ht="15.75">
      <c r="A165" s="31" t="s">
        <v>346</v>
      </c>
    </row>
    <row r="168" ht="15.75">
      <c r="A168" s="348" t="s">
        <v>269</v>
      </c>
    </row>
    <row r="169" ht="47.25">
      <c r="A169" s="33" t="s">
        <v>287</v>
      </c>
    </row>
    <row r="170" ht="15.75">
      <c r="A170" s="31" t="s">
        <v>270</v>
      </c>
    </row>
    <row r="171" ht="15.75">
      <c r="A171" s="31" t="s">
        <v>277</v>
      </c>
    </row>
    <row r="172" ht="15.75">
      <c r="A172" s="31" t="s">
        <v>288</v>
      </c>
    </row>
    <row r="173" ht="15.75">
      <c r="A173" s="31" t="s">
        <v>271</v>
      </c>
    </row>
    <row r="174" ht="15.75">
      <c r="A174" s="31" t="s">
        <v>272</v>
      </c>
    </row>
    <row r="175" ht="15.75">
      <c r="A175" s="31" t="s">
        <v>278</v>
      </c>
    </row>
    <row r="176" ht="31.5">
      <c r="A176" s="33" t="s">
        <v>301</v>
      </c>
    </row>
    <row r="177" ht="15.75">
      <c r="A177" s="31" t="s">
        <v>0</v>
      </c>
    </row>
    <row r="178" ht="15.75">
      <c r="A178" s="31" t="s">
        <v>1</v>
      </c>
    </row>
    <row r="179" ht="15.75">
      <c r="A179" s="31" t="s">
        <v>2</v>
      </c>
    </row>
    <row r="180" ht="15.75">
      <c r="A180" s="31" t="s">
        <v>3</v>
      </c>
    </row>
    <row r="181" ht="15.75">
      <c r="A181" s="31" t="s">
        <v>4</v>
      </c>
    </row>
    <row r="182" ht="31.5">
      <c r="A182" s="33" t="s">
        <v>5</v>
      </c>
    </row>
    <row r="183" ht="15.75">
      <c r="A183" s="31" t="s">
        <v>6</v>
      </c>
    </row>
    <row r="184" ht="15.75">
      <c r="A184" s="31" t="s">
        <v>7</v>
      </c>
    </row>
    <row r="185" ht="31.5">
      <c r="A185" s="33" t="s">
        <v>8</v>
      </c>
    </row>
    <row r="186" ht="15.75">
      <c r="A186" s="31" t="s">
        <v>9</v>
      </c>
    </row>
    <row r="187" ht="15.75">
      <c r="A187" s="31" t="s">
        <v>10</v>
      </c>
    </row>
    <row r="188" ht="15.75">
      <c r="A188" s="31" t="s">
        <v>11</v>
      </c>
    </row>
    <row r="189" ht="15.75">
      <c r="A189" s="31" t="s">
        <v>12</v>
      </c>
    </row>
    <row r="190" ht="15.75">
      <c r="A190" s="31" t="s">
        <v>13</v>
      </c>
    </row>
    <row r="191" ht="15.75">
      <c r="A191" s="31" t="s">
        <v>368</v>
      </c>
    </row>
    <row r="192" ht="15.75">
      <c r="A192" s="31" t="s">
        <v>369</v>
      </c>
    </row>
    <row r="193" ht="15.75">
      <c r="A193" s="31" t="s">
        <v>289</v>
      </c>
    </row>
    <row r="194" ht="15.75">
      <c r="A194" s="31" t="s">
        <v>294</v>
      </c>
    </row>
    <row r="195" ht="15.75">
      <c r="A195" s="31" t="s">
        <v>295</v>
      </c>
    </row>
    <row r="196" ht="15.75">
      <c r="A196" s="31" t="s">
        <v>303</v>
      </c>
    </row>
    <row r="197" ht="15.75">
      <c r="A197" s="31" t="s">
        <v>304</v>
      </c>
    </row>
    <row r="198" ht="15.75">
      <c r="A198" s="31" t="s">
        <v>307</v>
      </c>
    </row>
    <row r="199" ht="15.75">
      <c r="A199" s="31" t="s">
        <v>341</v>
      </c>
    </row>
    <row r="200" ht="15.75">
      <c r="A200" s="31" t="s">
        <v>339</v>
      </c>
    </row>
  </sheetData>
  <sheetProtection sheet="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G58"/>
  <sheetViews>
    <sheetView zoomScalePageLayoutView="0" workbookViewId="0" topLeftCell="A1">
      <selection activeCell="R71" sqref="R71"/>
    </sheetView>
  </sheetViews>
  <sheetFormatPr defaultColWidth="8.796875" defaultRowHeight="15"/>
  <cols>
    <col min="1" max="1" width="20.796875" style="31" customWidth="1"/>
    <col min="2" max="2" width="9.796875" style="31" customWidth="1"/>
    <col min="3" max="3" width="5.796875" style="31" customWidth="1"/>
    <col min="4" max="7" width="12.796875" style="31" customWidth="1"/>
    <col min="8" max="16384" width="8.8984375" style="31" customWidth="1"/>
  </cols>
  <sheetData>
    <row r="1" spans="1:7" ht="15.75">
      <c r="A1" s="148">
        <f>inputPrYr!C3</f>
        <v>0</v>
      </c>
      <c r="B1" s="80"/>
      <c r="C1" s="80"/>
      <c r="D1" s="80"/>
      <c r="E1" s="80"/>
      <c r="F1" s="80"/>
      <c r="G1" s="80">
        <f>inputPrYr!C5</f>
        <v>0</v>
      </c>
    </row>
    <row r="2" spans="1:7" ht="15.75">
      <c r="A2" s="825" t="s">
        <v>268</v>
      </c>
      <c r="B2" s="829"/>
      <c r="C2" s="829"/>
      <c r="D2" s="829"/>
      <c r="E2" s="829"/>
      <c r="F2" s="829"/>
      <c r="G2" s="829"/>
    </row>
    <row r="3" spans="1:7" ht="15.75">
      <c r="A3" s="109"/>
      <c r="B3" s="52"/>
      <c r="C3" s="52"/>
      <c r="D3" s="52"/>
      <c r="E3" s="52"/>
      <c r="F3" s="52"/>
      <c r="G3" s="52"/>
    </row>
    <row r="4" spans="1:7" ht="15.75">
      <c r="A4" s="109"/>
      <c r="B4" s="52"/>
      <c r="C4" s="52"/>
      <c r="D4" s="109"/>
      <c r="E4" s="109"/>
      <c r="F4" s="109"/>
      <c r="G4" s="109"/>
    </row>
    <row r="5" spans="1:7" ht="15.75">
      <c r="A5" s="45"/>
      <c r="B5" s="45"/>
      <c r="C5" s="45"/>
      <c r="D5" s="111" t="str">
        <f>CONCATENATE("",G1," Adopted Budget")</f>
        <v>0 Adopted Budget</v>
      </c>
      <c r="E5" s="112"/>
      <c r="F5" s="112"/>
      <c r="G5" s="113"/>
    </row>
    <row r="6" spans="1:7" ht="21" customHeight="1">
      <c r="A6" s="45"/>
      <c r="B6" s="45"/>
      <c r="C6" s="114" t="s">
        <v>24</v>
      </c>
      <c r="D6" s="120" t="s">
        <v>665</v>
      </c>
      <c r="E6" s="826" t="str">
        <f>CONCATENATE("Amount of ",G1-1,"      Ad Valorem Tax")</f>
        <v>Amount of -1      Ad Valorem Tax</v>
      </c>
      <c r="F6" s="115" t="s">
        <v>265</v>
      </c>
      <c r="G6" s="114" t="s">
        <v>25</v>
      </c>
    </row>
    <row r="7" spans="1:7" ht="15.75">
      <c r="A7" s="116" t="s">
        <v>266</v>
      </c>
      <c r="B7" s="68"/>
      <c r="C7" s="117" t="s">
        <v>27</v>
      </c>
      <c r="D7" s="117" t="s">
        <v>666</v>
      </c>
      <c r="E7" s="818"/>
      <c r="F7" s="149" t="s">
        <v>241</v>
      </c>
      <c r="G7" s="117" t="s">
        <v>29</v>
      </c>
    </row>
    <row r="8" spans="1:7" ht="15.75">
      <c r="A8" s="150" t="s">
        <v>267</v>
      </c>
      <c r="B8" s="151" t="s">
        <v>33</v>
      </c>
      <c r="C8" s="128"/>
      <c r="D8" s="128"/>
      <c r="E8" s="128"/>
      <c r="F8" s="128"/>
      <c r="G8" s="128"/>
    </row>
    <row r="9" spans="1:7" ht="15.75">
      <c r="A9" s="152"/>
      <c r="B9" s="153"/>
      <c r="C9" s="153"/>
      <c r="D9" s="153"/>
      <c r="E9" s="153"/>
      <c r="F9" s="153"/>
      <c r="G9" s="131" t="str">
        <f>IF(AND(D9=0,F9&gt;=0)," ",IF(AND(E9&gt;0,F9=0)," ",IF(AND(E9&gt;0,F9&gt;0),ROUND(E9/F9*1000,3))))</f>
        <v> </v>
      </c>
    </row>
    <row r="10" spans="1:7" ht="15.75">
      <c r="A10" s="94"/>
      <c r="B10" s="153"/>
      <c r="C10" s="153"/>
      <c r="D10" s="153"/>
      <c r="E10" s="153"/>
      <c r="F10" s="153"/>
      <c r="G10" s="131" t="str">
        <f aca="true" t="shared" si="0" ref="G10:G37">IF(AND(D10=0,F10&gt;=0)," ",IF(AND(E10&gt;0,F10=0)," ",IF(AND(E10&gt;0,F10&gt;0),ROUND(E10/F10*1000,3))))</f>
        <v> </v>
      </c>
    </row>
    <row r="11" spans="1:7" ht="15.75">
      <c r="A11" s="94"/>
      <c r="B11" s="153"/>
      <c r="C11" s="153"/>
      <c r="D11" s="153"/>
      <c r="E11" s="153"/>
      <c r="F11" s="153"/>
      <c r="G11" s="131" t="str">
        <f t="shared" si="0"/>
        <v> </v>
      </c>
    </row>
    <row r="12" spans="1:7" ht="15.75">
      <c r="A12" s="94"/>
      <c r="B12" s="153"/>
      <c r="C12" s="153"/>
      <c r="D12" s="153"/>
      <c r="E12" s="153"/>
      <c r="F12" s="153"/>
      <c r="G12" s="131" t="str">
        <f t="shared" si="0"/>
        <v> </v>
      </c>
    </row>
    <row r="13" spans="1:7" ht="15.75">
      <c r="A13" s="94"/>
      <c r="B13" s="153"/>
      <c r="C13" s="153"/>
      <c r="D13" s="153"/>
      <c r="E13" s="153"/>
      <c r="F13" s="153"/>
      <c r="G13" s="131" t="str">
        <f t="shared" si="0"/>
        <v> </v>
      </c>
    </row>
    <row r="14" spans="1:7" ht="15.75">
      <c r="A14" s="94"/>
      <c r="B14" s="153"/>
      <c r="C14" s="153"/>
      <c r="D14" s="153"/>
      <c r="E14" s="153"/>
      <c r="F14" s="153"/>
      <c r="G14" s="131" t="str">
        <f t="shared" si="0"/>
        <v> </v>
      </c>
    </row>
    <row r="15" spans="1:7" ht="15.75">
      <c r="A15" s="94"/>
      <c r="B15" s="153"/>
      <c r="C15" s="153"/>
      <c r="D15" s="153"/>
      <c r="E15" s="153"/>
      <c r="F15" s="153"/>
      <c r="G15" s="131" t="str">
        <f t="shared" si="0"/>
        <v> </v>
      </c>
    </row>
    <row r="16" spans="1:7" ht="15.75">
      <c r="A16" s="94"/>
      <c r="B16" s="153"/>
      <c r="C16" s="153"/>
      <c r="D16" s="153"/>
      <c r="E16" s="153"/>
      <c r="F16" s="153"/>
      <c r="G16" s="131" t="str">
        <f t="shared" si="0"/>
        <v> </v>
      </c>
    </row>
    <row r="17" spans="1:7" ht="15.75">
      <c r="A17" s="94"/>
      <c r="B17" s="153"/>
      <c r="C17" s="153"/>
      <c r="D17" s="153"/>
      <c r="E17" s="153"/>
      <c r="F17" s="153"/>
      <c r="G17" s="131" t="str">
        <f t="shared" si="0"/>
        <v> </v>
      </c>
    </row>
    <row r="18" spans="1:7" ht="15.75">
      <c r="A18" s="94"/>
      <c r="B18" s="153"/>
      <c r="C18" s="153"/>
      <c r="D18" s="153"/>
      <c r="E18" s="153"/>
      <c r="F18" s="153"/>
      <c r="G18" s="131" t="str">
        <f t="shared" si="0"/>
        <v> </v>
      </c>
    </row>
    <row r="19" spans="1:7" ht="15.75">
      <c r="A19" s="94"/>
      <c r="B19" s="153"/>
      <c r="C19" s="153"/>
      <c r="D19" s="153"/>
      <c r="E19" s="153"/>
      <c r="F19" s="153"/>
      <c r="G19" s="131" t="str">
        <f t="shared" si="0"/>
        <v> </v>
      </c>
    </row>
    <row r="20" spans="1:7" ht="15.75">
      <c r="A20" s="94"/>
      <c r="B20" s="153"/>
      <c r="C20" s="153"/>
      <c r="D20" s="153"/>
      <c r="E20" s="153"/>
      <c r="F20" s="153"/>
      <c r="G20" s="131" t="str">
        <f t="shared" si="0"/>
        <v> </v>
      </c>
    </row>
    <row r="21" spans="1:7" ht="15.75">
      <c r="A21" s="94"/>
      <c r="B21" s="153"/>
      <c r="C21" s="153"/>
      <c r="D21" s="153"/>
      <c r="E21" s="153"/>
      <c r="F21" s="153"/>
      <c r="G21" s="131" t="str">
        <f t="shared" si="0"/>
        <v> </v>
      </c>
    </row>
    <row r="22" spans="1:7" ht="15.75">
      <c r="A22" s="94"/>
      <c r="B22" s="153"/>
      <c r="C22" s="153"/>
      <c r="D22" s="153"/>
      <c r="E22" s="153"/>
      <c r="F22" s="153"/>
      <c r="G22" s="131" t="str">
        <f t="shared" si="0"/>
        <v> </v>
      </c>
    </row>
    <row r="23" spans="1:7" ht="15.75">
      <c r="A23" s="94"/>
      <c r="B23" s="153"/>
      <c r="C23" s="153"/>
      <c r="D23" s="153"/>
      <c r="E23" s="153"/>
      <c r="F23" s="153"/>
      <c r="G23" s="131" t="str">
        <f t="shared" si="0"/>
        <v> </v>
      </c>
    </row>
    <row r="24" spans="1:7" ht="15.75">
      <c r="A24" s="94"/>
      <c r="B24" s="153"/>
      <c r="C24" s="153"/>
      <c r="D24" s="153"/>
      <c r="E24" s="153"/>
      <c r="F24" s="153"/>
      <c r="G24" s="131" t="str">
        <f t="shared" si="0"/>
        <v> </v>
      </c>
    </row>
    <row r="25" spans="1:7" ht="15.75">
      <c r="A25" s="94"/>
      <c r="B25" s="153"/>
      <c r="C25" s="153"/>
      <c r="D25" s="153"/>
      <c r="E25" s="153"/>
      <c r="F25" s="153"/>
      <c r="G25" s="131" t="str">
        <f t="shared" si="0"/>
        <v> </v>
      </c>
    </row>
    <row r="26" spans="1:7" ht="15.75">
      <c r="A26" s="94"/>
      <c r="B26" s="153"/>
      <c r="C26" s="153"/>
      <c r="D26" s="153"/>
      <c r="E26" s="153"/>
      <c r="F26" s="153"/>
      <c r="G26" s="131" t="str">
        <f t="shared" si="0"/>
        <v> </v>
      </c>
    </row>
    <row r="27" spans="1:7" ht="15.75">
      <c r="A27" s="94"/>
      <c r="B27" s="153"/>
      <c r="C27" s="153"/>
      <c r="D27" s="153"/>
      <c r="E27" s="153"/>
      <c r="F27" s="153"/>
      <c r="G27" s="131" t="str">
        <f t="shared" si="0"/>
        <v> </v>
      </c>
    </row>
    <row r="28" spans="1:7" ht="15.75">
      <c r="A28" s="94"/>
      <c r="B28" s="154"/>
      <c r="C28" s="153"/>
      <c r="D28" s="153"/>
      <c r="E28" s="154"/>
      <c r="F28" s="154"/>
      <c r="G28" s="131" t="str">
        <f t="shared" si="0"/>
        <v> </v>
      </c>
    </row>
    <row r="29" spans="1:7" ht="15.75">
      <c r="A29" s="94"/>
      <c r="B29" s="154"/>
      <c r="C29" s="153"/>
      <c r="D29" s="153"/>
      <c r="E29" s="154"/>
      <c r="F29" s="154"/>
      <c r="G29" s="131" t="str">
        <f t="shared" si="0"/>
        <v> </v>
      </c>
    </row>
    <row r="30" spans="1:7" ht="15.75">
      <c r="A30" s="94"/>
      <c r="B30" s="154"/>
      <c r="C30" s="153"/>
      <c r="D30" s="153"/>
      <c r="E30" s="154"/>
      <c r="F30" s="154"/>
      <c r="G30" s="131" t="str">
        <f t="shared" si="0"/>
        <v> </v>
      </c>
    </row>
    <row r="31" spans="1:7" ht="15.75">
      <c r="A31" s="94"/>
      <c r="B31" s="154"/>
      <c r="C31" s="153"/>
      <c r="D31" s="153"/>
      <c r="E31" s="154"/>
      <c r="F31" s="154"/>
      <c r="G31" s="131" t="str">
        <f t="shared" si="0"/>
        <v> </v>
      </c>
    </row>
    <row r="32" spans="1:7" ht="15.75">
      <c r="A32" s="94"/>
      <c r="B32" s="154"/>
      <c r="C32" s="153"/>
      <c r="D32" s="153"/>
      <c r="E32" s="154"/>
      <c r="F32" s="154"/>
      <c r="G32" s="131" t="str">
        <f t="shared" si="0"/>
        <v> </v>
      </c>
    </row>
    <row r="33" spans="1:7" ht="15.75">
      <c r="A33" s="94"/>
      <c r="B33" s="154"/>
      <c r="C33" s="153"/>
      <c r="D33" s="153"/>
      <c r="E33" s="154"/>
      <c r="F33" s="154"/>
      <c r="G33" s="131" t="str">
        <f t="shared" si="0"/>
        <v> </v>
      </c>
    </row>
    <row r="34" spans="1:7" ht="15.75">
      <c r="A34" s="94"/>
      <c r="B34" s="154"/>
      <c r="C34" s="153"/>
      <c r="D34" s="153"/>
      <c r="E34" s="154"/>
      <c r="F34" s="154"/>
      <c r="G34" s="131" t="str">
        <f t="shared" si="0"/>
        <v> </v>
      </c>
    </row>
    <row r="35" spans="1:7" ht="15.75">
      <c r="A35" s="94"/>
      <c r="B35" s="154"/>
      <c r="C35" s="153"/>
      <c r="D35" s="153"/>
      <c r="E35" s="154"/>
      <c r="F35" s="154"/>
      <c r="G35" s="131" t="str">
        <f t="shared" si="0"/>
        <v> </v>
      </c>
    </row>
    <row r="36" spans="1:7" ht="15.75">
      <c r="A36" s="94"/>
      <c r="B36" s="154"/>
      <c r="C36" s="153"/>
      <c r="D36" s="153"/>
      <c r="E36" s="154"/>
      <c r="F36" s="154"/>
      <c r="G36" s="131" t="str">
        <f t="shared" si="0"/>
        <v> </v>
      </c>
    </row>
    <row r="37" spans="1:7" ht="15.75">
      <c r="A37" s="94"/>
      <c r="B37" s="154"/>
      <c r="C37" s="153"/>
      <c r="D37" s="153"/>
      <c r="E37" s="154"/>
      <c r="F37" s="154"/>
      <c r="G37" s="131" t="str">
        <f t="shared" si="0"/>
        <v> </v>
      </c>
    </row>
    <row r="38" spans="1:7" ht="16.5" thickBot="1">
      <c r="A38" s="118" t="s">
        <v>34</v>
      </c>
      <c r="B38" s="119"/>
      <c r="C38" s="155" t="s">
        <v>35</v>
      </c>
      <c r="D38" s="138">
        <f>SUM(D9:D37)</f>
        <v>0</v>
      </c>
      <c r="E38" s="138">
        <f>SUM(E9:E37)</f>
        <v>0</v>
      </c>
      <c r="F38" s="156"/>
      <c r="G38" s="139">
        <f>SUM(G9:G37)</f>
        <v>0</v>
      </c>
    </row>
    <row r="39" spans="1:7" ht="16.5" thickTop="1">
      <c r="A39" s="50"/>
      <c r="B39" s="46"/>
      <c r="C39" s="389"/>
      <c r="D39" s="45"/>
      <c r="E39" s="45"/>
      <c r="F39" s="141"/>
      <c r="G39" s="45"/>
    </row>
    <row r="40" spans="1:7" ht="15.75">
      <c r="A40" s="50"/>
      <c r="B40" s="46"/>
      <c r="C40" s="141"/>
      <c r="D40" s="45"/>
      <c r="E40" s="45"/>
      <c r="F40" s="45"/>
      <c r="G40" s="45"/>
    </row>
    <row r="41" spans="1:7" ht="15.75">
      <c r="A41" s="50"/>
      <c r="B41" s="45"/>
      <c r="C41" s="45"/>
      <c r="D41" s="45"/>
      <c r="E41" s="45"/>
      <c r="F41" s="45"/>
      <c r="G41" s="45"/>
    </row>
    <row r="42" spans="1:7" ht="15.75">
      <c r="A42" s="157"/>
      <c r="B42" s="89"/>
      <c r="C42" s="89"/>
      <c r="D42" s="89"/>
      <c r="E42" s="89"/>
      <c r="F42" s="89"/>
      <c r="G42" s="89"/>
    </row>
    <row r="43" spans="1:7" ht="15.75">
      <c r="A43" s="158"/>
      <c r="B43" s="158"/>
      <c r="C43" s="158"/>
      <c r="D43" s="158"/>
      <c r="E43" s="158"/>
      <c r="F43" s="158"/>
      <c r="G43" s="158"/>
    </row>
    <row r="44" spans="1:7" ht="15.75">
      <c r="A44" s="89"/>
      <c r="B44" s="89"/>
      <c r="C44" s="89"/>
      <c r="D44" s="89"/>
      <c r="E44" s="89"/>
      <c r="F44" s="89"/>
      <c r="G44" s="159"/>
    </row>
    <row r="54" spans="1:7" ht="15.75">
      <c r="A54" s="89"/>
      <c r="B54" s="89"/>
      <c r="C54" s="89"/>
      <c r="D54" s="89"/>
      <c r="E54" s="89"/>
      <c r="F54" s="89"/>
      <c r="G54" s="89"/>
    </row>
    <row r="58" spans="1:7" ht="15.75">
      <c r="A58" s="89"/>
      <c r="B58" s="89"/>
      <c r="C58" s="89"/>
      <c r="D58" s="157"/>
      <c r="E58" s="89"/>
      <c r="F58" s="89"/>
      <c r="G58" s="89"/>
    </row>
  </sheetData>
  <sheetProtection sheet="1"/>
  <mergeCells count="2">
    <mergeCell ref="E6:E7"/>
    <mergeCell ref="A2:G2"/>
  </mergeCells>
  <printOptions/>
  <pageMargins left="0.5" right="0.5" top="0.72" bottom="0.23" header="0.25" footer="0"/>
  <pageSetup blackAndWhite="1" fitToHeight="1" fitToWidth="1" horizontalDpi="120" verticalDpi="120" orientation="portrait" scale="91" r:id="rId1"/>
  <headerFooter alignWithMargins="0">
    <oddHeader>&amp;RState of Kansas
County
</oddHeader>
    <oddFooter>&amp;CPage No. 1a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47"/>
  <sheetViews>
    <sheetView zoomScale="85" zoomScaleNormal="85" zoomScalePageLayoutView="0" workbookViewId="0" topLeftCell="A1">
      <selection activeCell="AI37" sqref="AI37"/>
    </sheetView>
  </sheetViews>
  <sheetFormatPr defaultColWidth="8.796875" defaultRowHeight="15.75" customHeight="1"/>
  <cols>
    <col min="1" max="2" width="3.296875" style="31" customWidth="1"/>
    <col min="3" max="3" width="31.296875" style="31" customWidth="1"/>
    <col min="4" max="4" width="2.296875" style="31" customWidth="1"/>
    <col min="5" max="5" width="15.796875" style="31" customWidth="1"/>
    <col min="6" max="6" width="2" style="31" customWidth="1"/>
    <col min="7" max="7" width="15.796875" style="31" customWidth="1"/>
    <col min="8" max="8" width="1.8984375" style="31" customWidth="1"/>
    <col min="9" max="9" width="1.796875" style="31" customWidth="1"/>
    <col min="10" max="10" width="15.796875" style="31" customWidth="1"/>
    <col min="11" max="16384" width="8.8984375" style="31" customWidth="1"/>
  </cols>
  <sheetData>
    <row r="1" spans="1:10" ht="15.75" customHeight="1">
      <c r="A1" s="45"/>
      <c r="B1" s="45"/>
      <c r="C1" s="160">
        <f>inputPrYr!C3</f>
        <v>0</v>
      </c>
      <c r="D1" s="45"/>
      <c r="E1" s="45"/>
      <c r="F1" s="45"/>
      <c r="G1" s="45"/>
      <c r="H1" s="45"/>
      <c r="I1" s="45"/>
      <c r="J1" s="45">
        <f>inputPrYr!C5</f>
        <v>0</v>
      </c>
    </row>
    <row r="2" spans="1:10" ht="15.75" customHeight="1">
      <c r="A2" s="45"/>
      <c r="B2" s="45"/>
      <c r="C2" s="45"/>
      <c r="D2" s="45"/>
      <c r="E2" s="45"/>
      <c r="F2" s="45"/>
      <c r="G2" s="45"/>
      <c r="H2" s="45"/>
      <c r="I2" s="45"/>
      <c r="J2" s="45"/>
    </row>
    <row r="3" spans="1:10" ht="15.75">
      <c r="A3" s="825" t="str">
        <f>CONCATENATE("Computation to Determine Limit for ",J1,"")</f>
        <v>Computation to Determine Limit for 0</v>
      </c>
      <c r="B3" s="835"/>
      <c r="C3" s="835"/>
      <c r="D3" s="835"/>
      <c r="E3" s="835"/>
      <c r="F3" s="835"/>
      <c r="G3" s="835"/>
      <c r="H3" s="835"/>
      <c r="I3" s="835"/>
      <c r="J3" s="835"/>
    </row>
    <row r="4" spans="1:10" ht="15.75">
      <c r="A4" s="45"/>
      <c r="B4" s="45"/>
      <c r="C4" s="45"/>
      <c r="D4" s="45"/>
      <c r="E4" s="835"/>
      <c r="F4" s="835"/>
      <c r="G4" s="835"/>
      <c r="H4" s="161"/>
      <c r="I4" s="45"/>
      <c r="J4" s="162" t="s">
        <v>167</v>
      </c>
    </row>
    <row r="5" spans="1:10" ht="15.75">
      <c r="A5" s="163" t="s">
        <v>168</v>
      </c>
      <c r="B5" s="45" t="str">
        <f>CONCATENATE("Total tax levy amount in ",J1-1," budget")</f>
        <v>Total tax levy amount in -1 budget</v>
      </c>
      <c r="C5" s="45"/>
      <c r="D5" s="45"/>
      <c r="E5" s="92"/>
      <c r="F5" s="92"/>
      <c r="G5" s="92"/>
      <c r="H5" s="164" t="s">
        <v>169</v>
      </c>
      <c r="I5" s="92" t="s">
        <v>170</v>
      </c>
      <c r="J5" s="165">
        <f>inputPrYr!E42</f>
        <v>0</v>
      </c>
    </row>
    <row r="6" spans="1:10" ht="15.75">
      <c r="A6" s="163" t="s">
        <v>171</v>
      </c>
      <c r="B6" s="45" t="str">
        <f>CONCATENATE("Debt service levy in ",J1-1," budget")</f>
        <v>Debt service levy in -1 budget</v>
      </c>
      <c r="C6" s="45"/>
      <c r="D6" s="45"/>
      <c r="E6" s="92"/>
      <c r="F6" s="92"/>
      <c r="G6" s="92"/>
      <c r="H6" s="166" t="s">
        <v>172</v>
      </c>
      <c r="I6" s="167" t="s">
        <v>170</v>
      </c>
      <c r="J6" s="168">
        <f>inputPrYr!E18</f>
        <v>0</v>
      </c>
    </row>
    <row r="7" spans="1:10" ht="15.75">
      <c r="A7" s="163" t="s">
        <v>173</v>
      </c>
      <c r="B7" s="45" t="s">
        <v>901</v>
      </c>
      <c r="C7" s="45"/>
      <c r="D7" s="45"/>
      <c r="E7" s="92"/>
      <c r="F7" s="92"/>
      <c r="G7" s="92"/>
      <c r="H7" s="167"/>
      <c r="I7" s="167" t="s">
        <v>170</v>
      </c>
      <c r="J7" s="170">
        <f>J5-J6</f>
        <v>0</v>
      </c>
    </row>
    <row r="8" spans="1:10" ht="15.75">
      <c r="A8" s="45"/>
      <c r="B8" s="45"/>
      <c r="C8" s="45"/>
      <c r="D8" s="45"/>
      <c r="E8" s="92"/>
      <c r="F8" s="92"/>
      <c r="G8" s="92"/>
      <c r="H8" s="167"/>
      <c r="I8" s="167"/>
      <c r="J8" s="167"/>
    </row>
    <row r="9" spans="1:10" ht="15.75">
      <c r="A9" s="835" t="str">
        <f>CONCATENATE("",J1-1," Valuation Information for Valuation Adjustments")</f>
        <v>-1 Valuation Information for Valuation Adjustments</v>
      </c>
      <c r="B9" s="829"/>
      <c r="C9" s="829"/>
      <c r="D9" s="829"/>
      <c r="E9" s="829"/>
      <c r="F9" s="829"/>
      <c r="G9" s="829"/>
      <c r="H9" s="829"/>
      <c r="I9" s="829"/>
      <c r="J9" s="829"/>
    </row>
    <row r="10" spans="1:10" ht="15.75">
      <c r="A10" s="45"/>
      <c r="B10" s="45"/>
      <c r="C10" s="45"/>
      <c r="D10" s="45"/>
      <c r="E10" s="92"/>
      <c r="F10" s="92"/>
      <c r="G10" s="92"/>
      <c r="H10" s="167"/>
      <c r="I10" s="167"/>
      <c r="J10" s="167"/>
    </row>
    <row r="11" spans="1:10" ht="15.75">
      <c r="A11" s="163" t="s">
        <v>174</v>
      </c>
      <c r="B11" s="45" t="str">
        <f>CONCATENATE("New improvements for ",J1-1,":")</f>
        <v>New improvements for -1:</v>
      </c>
      <c r="C11" s="45"/>
      <c r="D11" s="45"/>
      <c r="E11" s="164"/>
      <c r="F11" s="164" t="s">
        <v>169</v>
      </c>
      <c r="G11" s="165">
        <f>inputOth!E6</f>
        <v>0</v>
      </c>
      <c r="H11" s="652"/>
      <c r="I11" s="167"/>
      <c r="J11" s="167"/>
    </row>
    <row r="12" spans="1:10" ht="15.75">
      <c r="A12" s="163"/>
      <c r="B12" s="163"/>
      <c r="C12" s="45"/>
      <c r="D12" s="45"/>
      <c r="E12" s="164"/>
      <c r="F12" s="164"/>
      <c r="G12" s="72"/>
      <c r="H12" s="652"/>
      <c r="I12" s="167"/>
      <c r="J12" s="167"/>
    </row>
    <row r="13" spans="1:10" ht="15.75">
      <c r="A13" s="163" t="s">
        <v>175</v>
      </c>
      <c r="B13" s="45" t="str">
        <f>CONCATENATE("Increase in personal property for ",J1-1,":")</f>
        <v>Increase in personal property for -1:</v>
      </c>
      <c r="C13" s="45"/>
      <c r="D13" s="45"/>
      <c r="E13" s="164"/>
      <c r="F13" s="164"/>
      <c r="G13" s="72"/>
      <c r="H13" s="652"/>
      <c r="I13" s="167"/>
      <c r="J13" s="167"/>
    </row>
    <row r="14" spans="1:10" ht="15.75">
      <c r="A14" s="45"/>
      <c r="B14" s="45" t="s">
        <v>176</v>
      </c>
      <c r="C14" s="45" t="str">
        <f>CONCATENATE("Personal property ",J1-1,"")</f>
        <v>Personal property -1</v>
      </c>
      <c r="D14" s="163" t="s">
        <v>169</v>
      </c>
      <c r="E14" s="165">
        <f>inputOth!E7</f>
        <v>0</v>
      </c>
      <c r="F14" s="164"/>
      <c r="G14" s="92"/>
      <c r="H14" s="167"/>
      <c r="I14" s="652"/>
      <c r="J14" s="167"/>
    </row>
    <row r="15" spans="1:10" ht="15.75">
      <c r="A15" s="163"/>
      <c r="B15" s="45" t="s">
        <v>177</v>
      </c>
      <c r="C15" s="45" t="str">
        <f>CONCATENATE("Personal property ",J1-2,"")</f>
        <v>Personal property -2</v>
      </c>
      <c r="D15" s="163" t="s">
        <v>172</v>
      </c>
      <c r="E15" s="97">
        <f>inputOth!E9</f>
        <v>0</v>
      </c>
      <c r="F15" s="164"/>
      <c r="G15" s="72"/>
      <c r="H15" s="652"/>
      <c r="I15" s="167"/>
      <c r="J15" s="167"/>
    </row>
    <row r="16" spans="1:10" ht="15.75">
      <c r="A16" s="163"/>
      <c r="B16" s="45" t="s">
        <v>178</v>
      </c>
      <c r="C16" s="45" t="s">
        <v>902</v>
      </c>
      <c r="D16" s="45"/>
      <c r="E16" s="92"/>
      <c r="F16" s="92" t="s">
        <v>169</v>
      </c>
      <c r="G16" s="165">
        <f>IF(E14&gt;E15,E14-E15,0)</f>
        <v>0</v>
      </c>
      <c r="H16" s="652"/>
      <c r="I16" s="167"/>
      <c r="J16" s="167"/>
    </row>
    <row r="17" spans="1:10" ht="15.75">
      <c r="A17" s="163"/>
      <c r="B17" s="163"/>
      <c r="C17" s="45"/>
      <c r="D17" s="45"/>
      <c r="E17" s="92"/>
      <c r="F17" s="92"/>
      <c r="G17" s="72" t="s">
        <v>184</v>
      </c>
      <c r="H17" s="652"/>
      <c r="I17" s="167"/>
      <c r="J17" s="167"/>
    </row>
    <row r="18" spans="1:10" ht="15.75">
      <c r="A18" s="163"/>
      <c r="B18" s="163"/>
      <c r="C18" s="45"/>
      <c r="D18" s="163"/>
      <c r="E18" s="72"/>
      <c r="F18" s="92"/>
      <c r="G18" s="72"/>
      <c r="H18" s="652"/>
      <c r="I18" s="167"/>
      <c r="J18" s="167"/>
    </row>
    <row r="19" spans="1:10" ht="15.75">
      <c r="A19" s="163" t="s">
        <v>179</v>
      </c>
      <c r="B19" s="45" t="str">
        <f>CONCATENATE("Valuation of property that has changed in use during ",J1-1,":")</f>
        <v>Valuation of property that has changed in use during -1:</v>
      </c>
      <c r="C19" s="45"/>
      <c r="D19" s="45"/>
      <c r="E19" s="92"/>
      <c r="F19" s="92"/>
      <c r="G19" s="92">
        <f>inputOth!E8</f>
        <v>0</v>
      </c>
      <c r="H19" s="167"/>
      <c r="I19" s="167"/>
      <c r="J19" s="167"/>
    </row>
    <row r="20" spans="1:10" ht="15.75">
      <c r="A20" s="163"/>
      <c r="B20" s="45"/>
      <c r="C20" s="45"/>
      <c r="D20" s="163"/>
      <c r="E20" s="72"/>
      <c r="F20" s="92"/>
      <c r="G20" s="171"/>
      <c r="H20" s="652"/>
      <c r="I20" s="167"/>
      <c r="J20" s="167"/>
    </row>
    <row r="21" spans="1:10" ht="15.75">
      <c r="A21" s="163" t="s">
        <v>188</v>
      </c>
      <c r="B21" s="45" t="s">
        <v>903</v>
      </c>
      <c r="C21" s="45"/>
      <c r="D21" s="45"/>
      <c r="E21" s="92"/>
      <c r="F21" s="92"/>
      <c r="G21" s="165">
        <f>G11+G16+G19</f>
        <v>0</v>
      </c>
      <c r="H21" s="652"/>
      <c r="I21" s="167"/>
      <c r="J21" s="167"/>
    </row>
    <row r="22" spans="1:10" ht="15.75">
      <c r="A22" s="163"/>
      <c r="B22" s="163"/>
      <c r="C22" s="45"/>
      <c r="D22" s="45"/>
      <c r="E22" s="92"/>
      <c r="F22" s="92"/>
      <c r="G22" s="72"/>
      <c r="H22" s="652"/>
      <c r="I22" s="167"/>
      <c r="J22" s="167"/>
    </row>
    <row r="23" spans="1:10" ht="15.75">
      <c r="A23" s="163" t="s">
        <v>189</v>
      </c>
      <c r="B23" s="45" t="str">
        <f>CONCATENATE("Total estimated valuation July 1,",J1-1,"")</f>
        <v>Total estimated valuation July 1,-1</v>
      </c>
      <c r="C23" s="45"/>
      <c r="D23" s="45"/>
      <c r="E23" s="165">
        <f>inputOth!E5</f>
        <v>0</v>
      </c>
      <c r="F23" s="92"/>
      <c r="G23" s="92"/>
      <c r="H23" s="167"/>
      <c r="I23" s="166"/>
      <c r="J23" s="167"/>
    </row>
    <row r="24" spans="1:10" ht="15.75">
      <c r="A24" s="163"/>
      <c r="B24" s="163"/>
      <c r="C24" s="45"/>
      <c r="D24" s="45"/>
      <c r="E24" s="72"/>
      <c r="F24" s="92"/>
      <c r="G24" s="92"/>
      <c r="H24" s="167"/>
      <c r="I24" s="166"/>
      <c r="J24" s="167"/>
    </row>
    <row r="25" spans="1:10" ht="15.75">
      <c r="A25" s="163" t="s">
        <v>180</v>
      </c>
      <c r="B25" s="45" t="s">
        <v>904</v>
      </c>
      <c r="C25" s="45"/>
      <c r="D25" s="45"/>
      <c r="E25" s="92"/>
      <c r="F25" s="92"/>
      <c r="G25" s="165">
        <f>E23-G21</f>
        <v>0</v>
      </c>
      <c r="H25" s="652"/>
      <c r="I25" s="166"/>
      <c r="J25" s="167"/>
    </row>
    <row r="26" spans="1:10" ht="15.75">
      <c r="A26" s="163"/>
      <c r="B26" s="163"/>
      <c r="C26" s="45"/>
      <c r="D26" s="45"/>
      <c r="E26" s="45"/>
      <c r="F26" s="45"/>
      <c r="G26" s="650"/>
      <c r="H26" s="654"/>
      <c r="I26" s="653"/>
      <c r="J26" s="80"/>
    </row>
    <row r="27" spans="1:10" ht="15.75">
      <c r="A27" s="163" t="s">
        <v>181</v>
      </c>
      <c r="B27" s="45" t="s">
        <v>905</v>
      </c>
      <c r="C27" s="45"/>
      <c r="D27" s="45"/>
      <c r="E27" s="45"/>
      <c r="F27" s="45"/>
      <c r="G27" s="172">
        <f>IF(G21&gt;0,G21/G25,0)</f>
        <v>0</v>
      </c>
      <c r="H27" s="654"/>
      <c r="I27" s="80"/>
      <c r="J27" s="80"/>
    </row>
    <row r="28" spans="1:10" ht="15.75">
      <c r="A28" s="163"/>
      <c r="B28" s="163"/>
      <c r="C28" s="45"/>
      <c r="D28" s="45"/>
      <c r="E28" s="45"/>
      <c r="F28" s="45"/>
      <c r="G28" s="568"/>
      <c r="H28" s="654"/>
      <c r="I28" s="80"/>
      <c r="J28" s="80"/>
    </row>
    <row r="29" spans="1:10" ht="15.75">
      <c r="A29" s="163" t="s">
        <v>182</v>
      </c>
      <c r="B29" s="45" t="s">
        <v>906</v>
      </c>
      <c r="C29" s="45"/>
      <c r="D29" s="45"/>
      <c r="E29" s="45"/>
      <c r="F29" s="45"/>
      <c r="G29" s="568"/>
      <c r="H29" s="655" t="s">
        <v>169</v>
      </c>
      <c r="I29" s="80" t="s">
        <v>170</v>
      </c>
      <c r="J29" s="651">
        <f>ROUND(G27*J7,0)</f>
        <v>0</v>
      </c>
    </row>
    <row r="30" spans="1:10" ht="15.75">
      <c r="A30" s="163"/>
      <c r="B30" s="163"/>
      <c r="C30" s="45"/>
      <c r="D30" s="45"/>
      <c r="E30" s="45"/>
      <c r="F30" s="45"/>
      <c r="G30" s="568"/>
      <c r="H30" s="655"/>
      <c r="I30" s="80"/>
      <c r="J30" s="652"/>
    </row>
    <row r="31" spans="1:10" ht="16.5" thickBot="1">
      <c r="A31" s="163" t="s">
        <v>183</v>
      </c>
      <c r="B31" s="45" t="str">
        <f>CONCATENATE(J1," budget tax levy, excluding debt service, prior to CPI adjustment (3 plus 11)")</f>
        <v>0 budget tax levy, excluding debt service, prior to CPI adjustment (3 plus 11)</v>
      </c>
      <c r="C31" s="45"/>
      <c r="D31" s="45"/>
      <c r="E31" s="45"/>
      <c r="F31" s="45"/>
      <c r="G31" s="45"/>
      <c r="H31" s="80"/>
      <c r="I31" s="80" t="s">
        <v>170</v>
      </c>
      <c r="J31" s="656">
        <f>J7+J29</f>
        <v>0</v>
      </c>
    </row>
    <row r="32" spans="1:10" ht="16.5" thickTop="1">
      <c r="A32" s="45"/>
      <c r="B32" s="45"/>
      <c r="C32" s="45"/>
      <c r="D32" s="45"/>
      <c r="E32" s="45"/>
      <c r="F32" s="45"/>
      <c r="G32" s="45"/>
      <c r="H32" s="45"/>
      <c r="I32" s="45"/>
      <c r="J32" s="80"/>
    </row>
    <row r="33" spans="1:10" ht="15.75">
      <c r="A33" s="163" t="s">
        <v>192</v>
      </c>
      <c r="B33" s="45" t="str">
        <f>CONCATENATE("Debt service levy in this ",J1-1," budget")</f>
        <v>Debt service levy in this -1 budget</v>
      </c>
      <c r="C33" s="45"/>
      <c r="D33" s="45"/>
      <c r="E33" s="45"/>
      <c r="F33" s="45"/>
      <c r="G33" s="45"/>
      <c r="H33" s="45"/>
      <c r="I33" s="45"/>
      <c r="J33" s="173">
        <f>DebtService!E59</f>
        <v>0</v>
      </c>
    </row>
    <row r="34" spans="1:10" ht="15.75">
      <c r="A34" s="163"/>
      <c r="B34" s="45"/>
      <c r="C34" s="45"/>
      <c r="D34" s="45"/>
      <c r="E34" s="45"/>
      <c r="F34" s="45"/>
      <c r="G34" s="45"/>
      <c r="H34" s="45"/>
      <c r="I34" s="45"/>
      <c r="J34" s="568"/>
    </row>
    <row r="35" spans="1:10" ht="16.5" thickBot="1">
      <c r="A35" s="163" t="s">
        <v>193</v>
      </c>
      <c r="B35" s="45" t="str">
        <f>CONCATENATE(J1," budget tax levy, including debt service, prior to CPI adjustment (12 plus 13)")</f>
        <v>0 budget tax levy, including debt service, prior to CPI adjustment (12 plus 13)</v>
      </c>
      <c r="C35" s="45"/>
      <c r="D35" s="45"/>
      <c r="E35" s="45"/>
      <c r="F35" s="45"/>
      <c r="G35" s="45"/>
      <c r="H35" s="45"/>
      <c r="I35" s="45"/>
      <c r="J35" s="174">
        <f>J31+J33</f>
        <v>0</v>
      </c>
    </row>
    <row r="36" spans="1:10" ht="16.5" thickTop="1">
      <c r="A36" s="663"/>
      <c r="B36" s="662"/>
      <c r="C36" s="662"/>
      <c r="D36" s="662"/>
      <c r="E36" s="662"/>
      <c r="F36" s="662"/>
      <c r="G36" s="662"/>
      <c r="H36" s="662"/>
      <c r="I36" s="662"/>
      <c r="J36" s="660"/>
    </row>
    <row r="37" spans="1:10" ht="15.75">
      <c r="A37" s="665" t="s">
        <v>900</v>
      </c>
      <c r="B37" s="662" t="str">
        <f>CONCATENATE("Consumer Price Index for all urban consumers for calendar year ",J1-2)</f>
        <v>Consumer Price Index for all urban consumers for calendar year -2</v>
      </c>
      <c r="C37" s="662"/>
      <c r="D37" s="662"/>
      <c r="E37" s="662"/>
      <c r="F37" s="662"/>
      <c r="G37" s="662"/>
      <c r="H37" s="662"/>
      <c r="I37" s="662"/>
      <c r="J37" s="928">
        <v>0.00125</v>
      </c>
    </row>
    <row r="38" spans="1:10" ht="15.75">
      <c r="A38" s="665"/>
      <c r="B38" s="662"/>
      <c r="C38" s="662"/>
      <c r="D38" s="662"/>
      <c r="E38" s="662"/>
      <c r="F38" s="662"/>
      <c r="G38" s="662"/>
      <c r="H38" s="662"/>
      <c r="I38" s="662"/>
      <c r="J38" s="666"/>
    </row>
    <row r="39" spans="1:10" ht="15.75">
      <c r="A39" s="665" t="s">
        <v>897</v>
      </c>
      <c r="B39" s="662" t="s">
        <v>930</v>
      </c>
      <c r="C39" s="662"/>
      <c r="D39" s="662"/>
      <c r="E39" s="662"/>
      <c r="F39" s="662"/>
      <c r="G39" s="662"/>
      <c r="H39" s="662"/>
      <c r="I39" s="661" t="s">
        <v>170</v>
      </c>
      <c r="J39" s="659">
        <f>ROUND(J7*J37,0)</f>
        <v>0</v>
      </c>
    </row>
    <row r="40" spans="1:10" ht="15.75">
      <c r="A40" s="663"/>
      <c r="B40" s="662"/>
      <c r="C40" s="662"/>
      <c r="D40" s="662"/>
      <c r="E40" s="662"/>
      <c r="F40" s="662"/>
      <c r="G40" s="662"/>
      <c r="H40" s="662"/>
      <c r="I40" s="662"/>
      <c r="J40" s="660"/>
    </row>
    <row r="41" spans="1:10" ht="15.75">
      <c r="A41" s="663" t="s">
        <v>898</v>
      </c>
      <c r="B41" s="662" t="str">
        <f>CONCATENATE("Maximum levy for budget year ",J1,", including debt service, not requiring 'notice of vote publication'")</f>
        <v>Maximum levy for budget year 0, including debt service, not requiring 'notice of vote publication'</v>
      </c>
      <c r="C41" s="662"/>
      <c r="D41" s="662"/>
      <c r="E41" s="662"/>
      <c r="F41" s="662"/>
      <c r="G41" s="662"/>
      <c r="H41" s="662"/>
      <c r="I41" s="662"/>
      <c r="J41" s="658"/>
    </row>
    <row r="42" spans="1:10" ht="19.5" thickBot="1">
      <c r="A42" s="657"/>
      <c r="B42" s="661" t="s">
        <v>962</v>
      </c>
      <c r="C42" s="657"/>
      <c r="D42" s="657"/>
      <c r="E42" s="657"/>
      <c r="F42" s="657"/>
      <c r="G42" s="657"/>
      <c r="H42" s="657"/>
      <c r="I42" s="661" t="s">
        <v>170</v>
      </c>
      <c r="J42" s="664">
        <f>J35+J39</f>
        <v>0</v>
      </c>
    </row>
    <row r="43" spans="1:10" ht="19.5" thickTop="1">
      <c r="A43" s="657"/>
      <c r="B43" s="667"/>
      <c r="C43" s="657"/>
      <c r="D43" s="657"/>
      <c r="E43" s="657"/>
      <c r="F43" s="657"/>
      <c r="G43" s="657"/>
      <c r="H43" s="657"/>
      <c r="I43" s="661"/>
      <c r="J43" s="660"/>
    </row>
    <row r="44" spans="1:10" ht="18.75">
      <c r="A44" s="657"/>
      <c r="B44" s="667"/>
      <c r="C44" s="657"/>
      <c r="D44" s="657"/>
      <c r="E44" s="657"/>
      <c r="F44" s="657"/>
      <c r="G44" s="657"/>
      <c r="H44" s="657"/>
      <c r="I44" s="661"/>
      <c r="J44" s="660"/>
    </row>
    <row r="45" spans="1:10" ht="15" customHeight="1">
      <c r="A45" s="837" t="str">
        <f>CONCATENATE("If the ",J1," adopted budget includes a total property tax levy exceeding the dollar amount in line 17")</f>
        <v>If the 0 adopted budget includes a total property tax levy exceeding the dollar amount in line 17</v>
      </c>
      <c r="B45" s="837"/>
      <c r="C45" s="837"/>
      <c r="D45" s="837"/>
      <c r="E45" s="837"/>
      <c r="F45" s="837"/>
      <c r="G45" s="837"/>
      <c r="H45" s="837"/>
      <c r="I45" s="837"/>
      <c r="J45" s="837"/>
    </row>
    <row r="46" spans="1:10" ht="31.5" customHeight="1">
      <c r="A46" s="836" t="s">
        <v>963</v>
      </c>
      <c r="B46" s="836"/>
      <c r="C46" s="836"/>
      <c r="D46" s="836"/>
      <c r="E46" s="836"/>
      <c r="F46" s="836"/>
      <c r="G46" s="836"/>
      <c r="H46" s="836"/>
      <c r="I46" s="836"/>
      <c r="J46" s="836"/>
    </row>
    <row r="47" spans="1:10" ht="15" customHeight="1">
      <c r="A47" s="838" t="s">
        <v>899</v>
      </c>
      <c r="B47" s="838"/>
      <c r="C47" s="838"/>
      <c r="D47" s="838"/>
      <c r="E47" s="838"/>
      <c r="F47" s="838"/>
      <c r="G47" s="838"/>
      <c r="H47" s="838"/>
      <c r="I47" s="838"/>
      <c r="J47" s="838"/>
    </row>
  </sheetData>
  <sheetProtection sheet="1"/>
  <mergeCells count="6">
    <mergeCell ref="A3:J3"/>
    <mergeCell ref="E4:G4"/>
    <mergeCell ref="A9:J9"/>
    <mergeCell ref="A46:J46"/>
    <mergeCell ref="A45:J45"/>
    <mergeCell ref="A47:J47"/>
  </mergeCells>
  <printOptions/>
  <pageMargins left="0.5" right="0.5" top="0.72" bottom="0.23" header="0.5" footer="0"/>
  <pageSetup blackAndWhite="1" fitToHeight="1" fitToWidth="1" horizontalDpi="600" verticalDpi="600" orientation="portrait" scale="80" r:id="rId1"/>
  <headerFooter alignWithMargins="0">
    <oddHeader>&amp;RState of Kansas
County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73"/>
  <sheetViews>
    <sheetView zoomScalePageLayoutView="0" workbookViewId="0" topLeftCell="A1">
      <selection activeCell="R98" sqref="R98"/>
    </sheetView>
  </sheetViews>
  <sheetFormatPr defaultColWidth="8.796875" defaultRowHeight="15"/>
  <cols>
    <col min="1" max="1" width="8.8984375" style="31" customWidth="1"/>
    <col min="2" max="2" width="18.796875" style="31" customWidth="1"/>
    <col min="3" max="3" width="12.796875" style="31" customWidth="1"/>
    <col min="4" max="4" width="0.1015625" style="31" customWidth="1"/>
    <col min="5" max="5" width="11.8984375" style="31" customWidth="1"/>
    <col min="6" max="6" width="12.09765625" style="31" customWidth="1"/>
    <col min="7" max="10" width="11.796875" style="31" customWidth="1"/>
    <col min="11" max="16384" width="8.8984375" style="31" customWidth="1"/>
  </cols>
  <sheetData>
    <row r="1" spans="1:10" ht="15.75">
      <c r="A1" s="45"/>
      <c r="B1" s="45"/>
      <c r="C1" s="45"/>
      <c r="D1" s="45"/>
      <c r="E1" s="45"/>
      <c r="F1" s="45"/>
      <c r="G1" s="45"/>
      <c r="H1" s="45"/>
      <c r="I1" s="45"/>
      <c r="J1" s="45"/>
    </row>
    <row r="2" spans="1:10" ht="15.75">
      <c r="A2" s="45"/>
      <c r="B2" s="45"/>
      <c r="C2" s="45"/>
      <c r="D2" s="45"/>
      <c r="E2" s="45"/>
      <c r="F2" s="45"/>
      <c r="G2" s="45"/>
      <c r="H2" s="45"/>
      <c r="I2" s="45"/>
      <c r="J2" s="45"/>
    </row>
    <row r="3" spans="1:10" ht="15.75">
      <c r="A3" s="45"/>
      <c r="B3" s="160">
        <f>inputPrYr!C3</f>
        <v>0</v>
      </c>
      <c r="C3" s="45"/>
      <c r="D3" s="45"/>
      <c r="E3" s="45"/>
      <c r="F3" s="45"/>
      <c r="G3" s="79"/>
      <c r="H3" s="79"/>
      <c r="I3" s="79"/>
      <c r="J3" s="80"/>
    </row>
    <row r="4" spans="1:10" ht="15.75">
      <c r="A4" s="45"/>
      <c r="B4" s="45"/>
      <c r="C4" s="45"/>
      <c r="D4" s="45"/>
      <c r="E4" s="45"/>
      <c r="F4" s="45"/>
      <c r="G4" s="79"/>
      <c r="H4" s="79"/>
      <c r="I4" s="79"/>
      <c r="J4" s="80">
        <f>inputPrYr!C5</f>
        <v>0</v>
      </c>
    </row>
    <row r="5" spans="1:10" ht="15.75">
      <c r="A5" s="844" t="s">
        <v>944</v>
      </c>
      <c r="B5" s="845"/>
      <c r="C5" s="845"/>
      <c r="D5" s="845"/>
      <c r="E5" s="845"/>
      <c r="F5" s="845"/>
      <c r="G5" s="845"/>
      <c r="H5" s="845"/>
      <c r="I5" s="845"/>
      <c r="J5" s="829"/>
    </row>
    <row r="6" spans="1:10" ht="15.75">
      <c r="A6" s="45"/>
      <c r="B6" s="42"/>
      <c r="C6" s="42"/>
      <c r="D6" s="42"/>
      <c r="E6" s="42"/>
      <c r="F6" s="42"/>
      <c r="G6" s="42"/>
      <c r="H6" s="42"/>
      <c r="I6" s="42"/>
      <c r="J6" s="91"/>
    </row>
    <row r="7" spans="1:10" ht="15.75">
      <c r="A7" s="45"/>
      <c r="B7" s="109"/>
      <c r="C7" s="52"/>
      <c r="D7" s="52"/>
      <c r="E7" s="52"/>
      <c r="F7" s="52"/>
      <c r="G7" s="45"/>
      <c r="H7" s="45"/>
      <c r="I7" s="45"/>
      <c r="J7" s="80"/>
    </row>
    <row r="8" spans="1:10" ht="21.75" customHeight="1">
      <c r="A8" s="45"/>
      <c r="B8" s="175"/>
      <c r="C8" s="826" t="str">
        <f>CONCATENATE("Ad Valorem Levy Tax Year ",J4-2,"")</f>
        <v>Ad Valorem Levy Tax Year -2</v>
      </c>
      <c r="D8" s="839"/>
      <c r="E8" s="840" t="str">
        <f>CONCATENATE("Allocation for Year ",J4,"")</f>
        <v>Allocation for Year 0</v>
      </c>
      <c r="F8" s="841"/>
      <c r="G8" s="841"/>
      <c r="H8" s="842"/>
      <c r="I8" s="843"/>
      <c r="J8" s="176"/>
    </row>
    <row r="9" spans="1:10" ht="23.25" customHeight="1">
      <c r="A9" s="45"/>
      <c r="B9" s="120" t="str">
        <f>CONCATENATE("",J4-1," Budgeted Funds")</f>
        <v>-1 Budgeted Funds</v>
      </c>
      <c r="C9" s="818"/>
      <c r="D9" s="818"/>
      <c r="E9" s="117" t="s">
        <v>45</v>
      </c>
      <c r="F9" s="117" t="s">
        <v>165</v>
      </c>
      <c r="G9" s="117" t="s">
        <v>191</v>
      </c>
      <c r="H9" s="730" t="s">
        <v>945</v>
      </c>
      <c r="I9" s="730" t="s">
        <v>946</v>
      </c>
      <c r="J9" s="91"/>
    </row>
    <row r="10" spans="1:10" ht="16.5" customHeight="1">
      <c r="A10" s="45"/>
      <c r="B10" s="81" t="str">
        <f>(inputPrYr!B17)</f>
        <v>General</v>
      </c>
      <c r="C10" s="123" t="str">
        <f>IF(inputPrYr!E17&gt;0,inputPrYr!E17,"  ")</f>
        <v>  </v>
      </c>
      <c r="D10" s="177" t="str">
        <f>IF(inputPrYr!F17&gt;0,(inputPrYr!F17),"  ")</f>
        <v>  </v>
      </c>
      <c r="E10" s="123">
        <f>IF(inputOth!$E$14=0,0,E37-SUM(E11:E34))</f>
        <v>0</v>
      </c>
      <c r="F10" s="123">
        <f>IF(inputOth!$E$15=0,0,F39-SUM(F11:F34))</f>
        <v>0</v>
      </c>
      <c r="G10" s="123">
        <f>IF(inputOth!$E$16=0,0,G41-SUM(G11:G34))</f>
        <v>0</v>
      </c>
      <c r="H10" s="123">
        <f>IF(inputOth!$E$17=0,0,H43-SUM(H11:H34))</f>
        <v>0</v>
      </c>
      <c r="I10" s="123">
        <f>IF(inputOth!$E$18=0,0,I45-SUM(I11:I34))</f>
        <v>0</v>
      </c>
      <c r="J10" s="91"/>
    </row>
    <row r="11" spans="1:10" ht="15.75">
      <c r="A11" s="45"/>
      <c r="B11" s="81" t="str">
        <f>(inputPrYr!B18)</f>
        <v>Debt Service</v>
      </c>
      <c r="C11" s="123" t="str">
        <f>IF(inputPrYr!E18&gt;0,inputPrYr!E18,"  ")</f>
        <v>  </v>
      </c>
      <c r="D11" s="177" t="str">
        <f>IF(inputPrYr!F18&gt;0,(inputPrYr!F18),"  ")</f>
        <v>  </v>
      </c>
      <c r="E11" s="123" t="str">
        <f>IF(inputPrYr!$E$18&gt;0,ROUND(+C11*E$48,0)," ")</f>
        <v> </v>
      </c>
      <c r="F11" s="123" t="str">
        <f>IF(inputPrYr!$E$18&gt;0,ROUND(+C11*F$50,0)," ")</f>
        <v> </v>
      </c>
      <c r="G11" s="123" t="str">
        <f>IF(inputPrYr!$E$18&gt;0,ROUND(+C11*G$52,0)," ")</f>
        <v> </v>
      </c>
      <c r="H11" s="123" t="str">
        <f>IF(inputPrYr!$E$18&gt;0,ROUND(C11*H$54,0)," ")</f>
        <v> </v>
      </c>
      <c r="I11" s="123" t="str">
        <f>IF(inputPrYr!$E$18&gt;0,ROUND(C11*I$56,0)," ")</f>
        <v> </v>
      </c>
      <c r="J11" s="91"/>
    </row>
    <row r="12" spans="1:10" ht="15.75">
      <c r="A12" s="45"/>
      <c r="B12" s="81" t="str">
        <f>(inputPrYr!B19)</f>
        <v>Road &amp; Bridge</v>
      </c>
      <c r="C12" s="123" t="str">
        <f>IF(inputPrYr!E19&gt;0,inputPrYr!E19,"  ")</f>
        <v>  </v>
      </c>
      <c r="D12" s="177" t="str">
        <f>IF(inputPrYr!F19&gt;0,(inputPrYr!F19),"  ")</f>
        <v>  </v>
      </c>
      <c r="E12" s="123" t="str">
        <f>IF(inputPrYr!$E$19&gt;0,ROUND(+C12*E$48,0)," ")</f>
        <v> </v>
      </c>
      <c r="F12" s="123" t="str">
        <f>IF(inputPrYr!$E$19&gt;0,ROUND(+C12*F$50,0)," ")</f>
        <v> </v>
      </c>
      <c r="G12" s="123" t="str">
        <f>IF(inputPrYr!$E$19&gt;0,ROUND(+C12*G$52,0)," ")</f>
        <v> </v>
      </c>
      <c r="H12" s="123" t="str">
        <f>IF(inputPrYr!$E$19&gt;0,ROUND(C12*H$54,0)," ")</f>
        <v> </v>
      </c>
      <c r="I12" s="123" t="str">
        <f>IF(inputPrYr!$E$19&gt;0,ROUND(C12*I$56,0)," ")</f>
        <v> </v>
      </c>
      <c r="J12" s="91"/>
    </row>
    <row r="13" spans="1:10" ht="15.75">
      <c r="A13" s="45"/>
      <c r="B13" s="81" t="str">
        <f>IF((inputPrYr!$B20&gt;" "),(inputPrYr!$B20),"  ")</f>
        <v>  </v>
      </c>
      <c r="C13" s="123" t="str">
        <f>IF(inputPrYr!E20&gt;0,inputPrYr!E20,"  ")</f>
        <v>  </v>
      </c>
      <c r="D13" s="177" t="str">
        <f>IF(inputPrYr!F20&gt;0,(inputPrYr!F20),"  ")</f>
        <v>  </v>
      </c>
      <c r="E13" s="123" t="str">
        <f>IF(inputPrYr!$E$20&gt;0,ROUND(+C13*E$48,0)," ")</f>
        <v> </v>
      </c>
      <c r="F13" s="123" t="str">
        <f>IF(inputPrYr!$E$20&gt;0,ROUND(+C13*F$50,0)," ")</f>
        <v> </v>
      </c>
      <c r="G13" s="123" t="str">
        <f>IF(inputPrYr!$E$20&gt;0,ROUND(+C13*G$52,0)," ")</f>
        <v> </v>
      </c>
      <c r="H13" s="123" t="str">
        <f>IF(inputPrYr!$E$20&gt;0,ROUND(C13*H$54,0)," ")</f>
        <v> </v>
      </c>
      <c r="I13" s="123" t="str">
        <f>IF(inputPrYr!$E$20&gt;0,ROUND(C13*I$56,0)," ")</f>
        <v> </v>
      </c>
      <c r="J13" s="91"/>
    </row>
    <row r="14" spans="1:10" ht="15.75">
      <c r="A14" s="45"/>
      <c r="B14" s="81" t="str">
        <f>IF((inputPrYr!$B21&gt;" "),(inputPrYr!$B21),"  ")</f>
        <v>  </v>
      </c>
      <c r="C14" s="123" t="str">
        <f>IF(inputPrYr!E21&gt;0,inputPrYr!E21,"  ")</f>
        <v>  </v>
      </c>
      <c r="D14" s="177" t="str">
        <f>IF(inputPrYr!F21&gt;0,(inputPrYr!F21),"  ")</f>
        <v>  </v>
      </c>
      <c r="E14" s="123" t="str">
        <f>IF(inputPrYr!E21&gt;0,ROUND(+C14*E$48,0)," ")</f>
        <v> </v>
      </c>
      <c r="F14" s="123" t="str">
        <f>IF(inputPrYr!$E$21&gt;0,ROUND(+C14*F$50,0)," ")</f>
        <v> </v>
      </c>
      <c r="G14" s="123" t="str">
        <f>IF(inputPrYr!$E$21&gt;0,ROUND(+C14*G$52,0)," ")</f>
        <v> </v>
      </c>
      <c r="H14" s="123" t="str">
        <f>IF(inputPrYr!$E$21&gt;0,ROUND(C14*H$54,0)," ")</f>
        <v> </v>
      </c>
      <c r="I14" s="123" t="str">
        <f>IF(inputPrYr!$E$21&gt;0,ROUND(C14*I$56,0)," ")</f>
        <v> </v>
      </c>
      <c r="J14" s="91"/>
    </row>
    <row r="15" spans="1:10" ht="15.75">
      <c r="A15" s="45"/>
      <c r="B15" s="81" t="str">
        <f>IF((inputPrYr!$B22&gt;" "),(inputPrYr!$B22),"  ")</f>
        <v>  </v>
      </c>
      <c r="C15" s="123" t="str">
        <f>IF(inputPrYr!E22&gt;0,inputPrYr!E22,"  ")</f>
        <v>  </v>
      </c>
      <c r="D15" s="177" t="str">
        <f>IF(inputPrYr!F22&gt;0,(inputPrYr!F22),"  ")</f>
        <v>  </v>
      </c>
      <c r="E15" s="123" t="str">
        <f>IF(inputPrYr!E22&gt;0,ROUND(+C15*E$48,0),"  ")</f>
        <v>  </v>
      </c>
      <c r="F15" s="123" t="str">
        <f>IF(inputPrYr!E22&gt;0,ROUND(+C15*F$50,0),"  ")</f>
        <v>  </v>
      </c>
      <c r="G15" s="123" t="str">
        <f>IF(inputPrYr!E22&gt;0,ROUND(+C15*G$52,0),"  ")</f>
        <v>  </v>
      </c>
      <c r="H15" s="123" t="str">
        <f>IF(inputPrYr!$E$22&gt;0,ROUND(C15*H$54,0)," ")</f>
        <v> </v>
      </c>
      <c r="I15" s="123" t="str">
        <f>IF(inputPrYr!$E$22&gt;0,ROUND(C15*I$56,0)," ")</f>
        <v> </v>
      </c>
      <c r="J15" s="91"/>
    </row>
    <row r="16" spans="1:10" ht="15.75">
      <c r="A16" s="45"/>
      <c r="B16" s="81" t="str">
        <f>IF((inputPrYr!$B23&gt;" "),(inputPrYr!$B23),"  ")</f>
        <v>  </v>
      </c>
      <c r="C16" s="123" t="str">
        <f>IF(inputPrYr!E23&gt;0,inputPrYr!E23,"  ")</f>
        <v>  </v>
      </c>
      <c r="D16" s="177" t="str">
        <f>IF(inputPrYr!F23&gt;0,(inputPrYr!F23),"  ")</f>
        <v>  </v>
      </c>
      <c r="E16" s="123" t="str">
        <f>IF(inputPrYr!E23&gt;0,ROUND(+C16*E$48,0),"  ")</f>
        <v>  </v>
      </c>
      <c r="F16" s="123" t="str">
        <f>IF(inputPrYr!E23&gt;0,ROUND(+C16*F$50,0),"  ")</f>
        <v>  </v>
      </c>
      <c r="G16" s="123" t="str">
        <f>IF(inputPrYr!E23&gt;0,ROUND(+C16*G$52,0),"  ")</f>
        <v>  </v>
      </c>
      <c r="H16" s="123" t="str">
        <f>IF(inputPrYr!$E$23&gt;0,ROUND(C16*H$54,0)," ")</f>
        <v> </v>
      </c>
      <c r="I16" s="123" t="str">
        <f>IF(inputPrYr!$E$23&gt;0,ROUND(C16*I$56,0)," ")</f>
        <v> </v>
      </c>
      <c r="J16" s="91"/>
    </row>
    <row r="17" spans="1:10" ht="15.75">
      <c r="A17" s="45"/>
      <c r="B17" s="81" t="str">
        <f>IF((inputPrYr!$B24&gt;" "),(inputPrYr!$B24),"  ")</f>
        <v>  </v>
      </c>
      <c r="C17" s="123" t="str">
        <f>IF(inputPrYr!E24&gt;0,inputPrYr!E24,"  ")</f>
        <v>  </v>
      </c>
      <c r="D17" s="177" t="str">
        <f>IF(inputPrYr!F24&gt;0,(inputPrYr!F24),"  ")</f>
        <v>  </v>
      </c>
      <c r="E17" s="123" t="str">
        <f>IF(inputPrYr!E24&gt;0,ROUND(+C17*E$48,0),"  ")</f>
        <v>  </v>
      </c>
      <c r="F17" s="123" t="str">
        <f>IF(inputPrYr!E24&gt;0,ROUND(+C17*F$50,0),"  ")</f>
        <v>  </v>
      </c>
      <c r="G17" s="123" t="str">
        <f>IF(inputPrYr!E24&gt;0,ROUND(+C17*G$52,0),"  ")</f>
        <v>  </v>
      </c>
      <c r="H17" s="123" t="str">
        <f>IF(inputPrYr!$E$24&gt;0,ROUND(C17*H$54,0)," ")</f>
        <v> </v>
      </c>
      <c r="I17" s="123" t="str">
        <f>IF(inputPrYr!$E$24&gt;0,ROUND(C17*I$56,0)," ")</f>
        <v> </v>
      </c>
      <c r="J17" s="91"/>
    </row>
    <row r="18" spans="1:10" ht="15.75">
      <c r="A18" s="45"/>
      <c r="B18" s="81" t="str">
        <f>IF((inputPrYr!$B25&gt;" "),(inputPrYr!$B25),"  ")</f>
        <v>  </v>
      </c>
      <c r="C18" s="123" t="str">
        <f>IF(inputPrYr!E25&gt;0,inputPrYr!E25,"  ")</f>
        <v>  </v>
      </c>
      <c r="D18" s="177" t="str">
        <f>IF(inputPrYr!F25&gt;0,(inputPrYr!F25),"  ")</f>
        <v>  </v>
      </c>
      <c r="E18" s="123" t="str">
        <f>IF(inputPrYr!E25&gt;0,ROUND(C18*E$48,0),"  ")</f>
        <v>  </v>
      </c>
      <c r="F18" s="123" t="str">
        <f>IF(inputPrYr!E25&gt;0,ROUND(+C18*F$50,0),"  ")</f>
        <v>  </v>
      </c>
      <c r="G18" s="123" t="str">
        <f>IF(inputPrYr!E25&gt;0,ROUND(+C18*G$52,0),"  ")</f>
        <v>  </v>
      </c>
      <c r="H18" s="123" t="str">
        <f>IF(inputPrYr!$E$25&gt;0,ROUND(C18*H$54,0)," ")</f>
        <v> </v>
      </c>
      <c r="I18" s="123" t="str">
        <f>IF(inputPrYr!$E$25&gt;0,ROUND(C18*I$56,0)," ")</f>
        <v> </v>
      </c>
      <c r="J18" s="91"/>
    </row>
    <row r="19" spans="1:10" ht="15.75">
      <c r="A19" s="45"/>
      <c r="B19" s="81" t="str">
        <f>IF((inputPrYr!$B26&gt;" "),(inputPrYr!$B26),"  ")</f>
        <v>  </v>
      </c>
      <c r="C19" s="123" t="str">
        <f>IF(inputPrYr!E26&gt;0,inputPrYr!E26,"  ")</f>
        <v>  </v>
      </c>
      <c r="D19" s="177" t="str">
        <f>IF(inputPrYr!F26&gt;0,(inputPrYr!F26),"  ")</f>
        <v>  </v>
      </c>
      <c r="E19" s="123" t="str">
        <f>IF(inputPrYr!E26&gt;0,ROUND(+C19*E$48,0),"  ")</f>
        <v>  </v>
      </c>
      <c r="F19" s="123" t="str">
        <f>IF(inputPrYr!E26&gt;0,ROUND(+C19*F$50,0),"  ")</f>
        <v>  </v>
      </c>
      <c r="G19" s="123" t="str">
        <f>IF(inputPrYr!E26&gt;0,ROUND(+C19*G$52,0),"  ")</f>
        <v>  </v>
      </c>
      <c r="H19" s="123" t="str">
        <f>IF(inputPrYr!$E$26&gt;0,ROUND(C19*H$54,0)," ")</f>
        <v> </v>
      </c>
      <c r="I19" s="123" t="str">
        <f>IF(inputPrYr!$E$26&gt;0,ROUND(C19*I$56,0)," ")</f>
        <v> </v>
      </c>
      <c r="J19" s="91"/>
    </row>
    <row r="20" spans="1:10" ht="15.75">
      <c r="A20" s="45"/>
      <c r="B20" s="81" t="str">
        <f>IF((inputPrYr!$B27&gt;" "),(inputPrYr!$B27),"  ")</f>
        <v>  </v>
      </c>
      <c r="C20" s="123" t="str">
        <f>IF(inputPrYr!E27&gt;0,inputPrYr!E27,"  ")</f>
        <v>  </v>
      </c>
      <c r="D20" s="177" t="str">
        <f>IF(inputPrYr!F27&gt;0,(inputPrYr!F27),"  ")</f>
        <v>  </v>
      </c>
      <c r="E20" s="123" t="str">
        <f>IF(inputPrYr!E27&gt;0,ROUND(+C20*E$48,0),"  ")</f>
        <v>  </v>
      </c>
      <c r="F20" s="123" t="str">
        <f>IF(inputPrYr!E27&gt;0,ROUND(+C20*F$50,0),"  ")</f>
        <v>  </v>
      </c>
      <c r="G20" s="123" t="str">
        <f>IF(inputPrYr!E27&gt;0,ROUND(+C20*G$52,0),"  ")</f>
        <v>  </v>
      </c>
      <c r="H20" s="123" t="str">
        <f>IF(inputPrYr!$E$27&gt;0,ROUND(C20*H$54,0)," ")</f>
        <v> </v>
      </c>
      <c r="I20" s="123" t="str">
        <f>IF(inputPrYr!$E$27&gt;0,ROUND(C20*I$56,0)," ")</f>
        <v> </v>
      </c>
      <c r="J20" s="91"/>
    </row>
    <row r="21" spans="1:10" ht="15.75">
      <c r="A21" s="45"/>
      <c r="B21" s="81" t="str">
        <f>IF((inputPrYr!$B28&gt;" "),(inputPrYr!$B28),"  ")</f>
        <v>  </v>
      </c>
      <c r="C21" s="123" t="str">
        <f>IF(inputPrYr!E28&gt;0,inputPrYr!E28,"  ")</f>
        <v>  </v>
      </c>
      <c r="D21" s="177" t="str">
        <f>IF(inputPrYr!F28&gt;0,(inputPrYr!F28),"  ")</f>
        <v>  </v>
      </c>
      <c r="E21" s="123" t="str">
        <f>IF(inputPrYr!E28&gt;0,ROUND(+C21*E$48,0),"  ")</f>
        <v>  </v>
      </c>
      <c r="F21" s="123" t="str">
        <f>IF(inputPrYr!E28&gt;0,ROUND(+C21*F$50,0),"  ")</f>
        <v>  </v>
      </c>
      <c r="G21" s="123" t="str">
        <f>IF(inputPrYr!E28&gt;0,ROUND(+C21*G$52,0),"  ")</f>
        <v>  </v>
      </c>
      <c r="H21" s="123" t="str">
        <f>IF(inputPrYr!$E$28&gt;0,ROUND(C21*H$54,0)," ")</f>
        <v> </v>
      </c>
      <c r="I21" s="123" t="str">
        <f>IF(inputPrYr!$E$28&gt;0,ROUND(C21*I$56,0)," ")</f>
        <v> </v>
      </c>
      <c r="J21" s="91"/>
    </row>
    <row r="22" spans="1:10" ht="15.75">
      <c r="A22" s="45"/>
      <c r="B22" s="81" t="str">
        <f>IF((inputPrYr!$B29&gt;" "),(inputPrYr!$B29),"  ")</f>
        <v>  </v>
      </c>
      <c r="C22" s="123" t="str">
        <f>IF(inputPrYr!E29&gt;0,inputPrYr!E29,"  ")</f>
        <v>  </v>
      </c>
      <c r="D22" s="177" t="str">
        <f>IF(inputPrYr!F29&gt;0,(inputPrYr!F29),"  ")</f>
        <v>  </v>
      </c>
      <c r="E22" s="123" t="str">
        <f>IF(inputPrYr!E29&gt;0,ROUND(+C22*E$48,0),"  ")</f>
        <v>  </v>
      </c>
      <c r="F22" s="123" t="str">
        <f>IF(inputPrYr!E29&gt;0,ROUND(+C22*F$50,0),"  ")</f>
        <v>  </v>
      </c>
      <c r="G22" s="123" t="str">
        <f>IF(inputPrYr!E29&gt;0,ROUND(+C22*G$52,0),"  ")</f>
        <v>  </v>
      </c>
      <c r="H22" s="123" t="str">
        <f>IF(inputPrYr!$E$29&gt;0,ROUND(C22*H$54,0)," ")</f>
        <v> </v>
      </c>
      <c r="I22" s="123" t="str">
        <f>IF(inputPrYr!$E$29&gt;0,ROUND(C22*I$56,0)," ")</f>
        <v> </v>
      </c>
      <c r="J22" s="91"/>
    </row>
    <row r="23" spans="1:10" ht="15.75">
      <c r="A23" s="45"/>
      <c r="B23" s="81" t="str">
        <f>IF((inputPrYr!$B30&gt;" "),(inputPrYr!$B30),"  ")</f>
        <v>  </v>
      </c>
      <c r="C23" s="123" t="str">
        <f>IF(inputPrYr!E30&gt;0,inputPrYr!E30,"  ")</f>
        <v>  </v>
      </c>
      <c r="D23" s="177" t="str">
        <f>IF(inputPrYr!F30&gt;0,(inputPrYr!F30),"  ")</f>
        <v>  </v>
      </c>
      <c r="E23" s="123" t="str">
        <f>IF(inputPrYr!E30&gt;0,ROUND(+C23*E$48,0),"  ")</f>
        <v>  </v>
      </c>
      <c r="F23" s="123" t="str">
        <f>IF(inputPrYr!E30&gt;0,ROUND(+C23*F$50,0),"  ")</f>
        <v>  </v>
      </c>
      <c r="G23" s="123" t="str">
        <f>IF(inputPrYr!E30&gt;0,ROUND(+C23*G$52,0),"  ")</f>
        <v>  </v>
      </c>
      <c r="H23" s="123" t="str">
        <f>IF(inputPrYr!$E$30&gt;0,ROUND(C23*H$54,0)," ")</f>
        <v> </v>
      </c>
      <c r="I23" s="123" t="str">
        <f>IF(inputPrYr!$E$30&gt;0,ROUND(C23*I$56,0)," ")</f>
        <v> </v>
      </c>
      <c r="J23" s="91"/>
    </row>
    <row r="24" spans="1:10" ht="15.75">
      <c r="A24" s="45"/>
      <c r="B24" s="81" t="str">
        <f>IF((inputPrYr!$B31&gt;" "),(inputPrYr!$B31),"  ")</f>
        <v>  </v>
      </c>
      <c r="C24" s="123" t="str">
        <f>IF(inputPrYr!E31&gt;0,inputPrYr!E31,"  ")</f>
        <v>  </v>
      </c>
      <c r="D24" s="177" t="str">
        <f>IF(inputPrYr!F31&gt;0,(inputPrYr!F31),"  ")</f>
        <v>  </v>
      </c>
      <c r="E24" s="123" t="str">
        <f>IF(inputPrYr!E31&gt;0,ROUND(+C24*E$48,0),"  ")</f>
        <v>  </v>
      </c>
      <c r="F24" s="123" t="str">
        <f>IF(inputPrYr!E31&gt;0,ROUND(+C24*F$50,0),"  ")</f>
        <v>  </v>
      </c>
      <c r="G24" s="123" t="str">
        <f>IF(inputPrYr!E31&gt;0,ROUND(+C24*G$52,0),"  ")</f>
        <v>  </v>
      </c>
      <c r="H24" s="123" t="str">
        <f>IF(inputPrYr!$E$31&gt;0,ROUND(C24*H$54,0)," ")</f>
        <v> </v>
      </c>
      <c r="I24" s="123" t="str">
        <f>IF(inputPrYr!$E$31&gt;0,ROUND(C24*I$56,0)," ")</f>
        <v> </v>
      </c>
      <c r="J24" s="91"/>
    </row>
    <row r="25" spans="1:10" ht="15.75">
      <c r="A25" s="45"/>
      <c r="B25" s="81" t="str">
        <f>IF((inputPrYr!$B32&gt;" "),(inputPrYr!$B32),"  ")</f>
        <v>  </v>
      </c>
      <c r="C25" s="123" t="str">
        <f>IF(inputPrYr!E32&gt;0,inputPrYr!E32,"  ")</f>
        <v>  </v>
      </c>
      <c r="D25" s="177" t="str">
        <f>IF(inputPrYr!F32&gt;0,(inputPrYr!F32),"  ")</f>
        <v>  </v>
      </c>
      <c r="E25" s="123" t="str">
        <f>IF(inputPrYr!E32&gt;0,ROUND(+C25*E$48,0),"  ")</f>
        <v>  </v>
      </c>
      <c r="F25" s="123" t="str">
        <f>IF(inputPrYr!E32&gt;0,ROUND(C25*F$50,0),"  ")</f>
        <v>  </v>
      </c>
      <c r="G25" s="123" t="str">
        <f>IF(inputPrYr!E32&gt;0,ROUND(+C25*G$52,0),"  ")</f>
        <v>  </v>
      </c>
      <c r="H25" s="123" t="str">
        <f>IF(inputPrYr!$E$32&gt;0,ROUND(C25*H$54,0)," ")</f>
        <v> </v>
      </c>
      <c r="I25" s="123" t="str">
        <f>IF(inputPrYr!$E$32&gt;0,ROUND(C25*I$56,0)," ")</f>
        <v> </v>
      </c>
      <c r="J25" s="91"/>
    </row>
    <row r="26" spans="1:10" ht="15.75">
      <c r="A26" s="45"/>
      <c r="B26" s="81" t="str">
        <f>IF((inputPrYr!$B33&gt;" "),(inputPrYr!$B33),"  ")</f>
        <v>  </v>
      </c>
      <c r="C26" s="123" t="str">
        <f>IF(inputPrYr!E33&gt;0,inputPrYr!E33,"  ")</f>
        <v>  </v>
      </c>
      <c r="D26" s="177" t="str">
        <f>IF(inputPrYr!F33&gt;0,(inputPrYr!F33),"  ")</f>
        <v>  </v>
      </c>
      <c r="E26" s="123" t="str">
        <f>IF(inputPrYr!E33&gt;0,ROUND(+C26*E$48,0),"  ")</f>
        <v>  </v>
      </c>
      <c r="F26" s="123" t="str">
        <f>IF(inputPrYr!E33&gt;0,ROUND(+C26*F$50,0),"  ")</f>
        <v>  </v>
      </c>
      <c r="G26" s="123" t="str">
        <f>IF(inputPrYr!E33&gt;0,ROUND(+C26*G$52,0),"  ")</f>
        <v>  </v>
      </c>
      <c r="H26" s="123" t="str">
        <f>IF(inputPrYr!$E$33&gt;0,ROUND(C26*H$54,0)," ")</f>
        <v> </v>
      </c>
      <c r="I26" s="123" t="str">
        <f>IF(inputPrYr!$E$33&gt;0,ROUND(C26*I$56,0)," ")</f>
        <v> </v>
      </c>
      <c r="J26" s="91"/>
    </row>
    <row r="27" spans="1:10" ht="15.75">
      <c r="A27" s="45"/>
      <c r="B27" s="81" t="str">
        <f>IF((inputPrYr!$B34&gt;" "),(inputPrYr!$B34),"  ")</f>
        <v>  </v>
      </c>
      <c r="C27" s="123" t="str">
        <f>IF(inputPrYr!E34&gt;0,inputPrYr!E34,"  ")</f>
        <v>  </v>
      </c>
      <c r="D27" s="177" t="str">
        <f>IF(inputPrYr!F34&gt;0,(inputPrYr!F34),"  ")</f>
        <v>  </v>
      </c>
      <c r="E27" s="123" t="str">
        <f>IF(inputPrYr!E34&gt;0,ROUND(+C27*E$48,0),"  ")</f>
        <v>  </v>
      </c>
      <c r="F27" s="123" t="str">
        <f>IF(inputPrYr!E34&gt;0,ROUND(+C27*F$50,0),"  ")</f>
        <v>  </v>
      </c>
      <c r="G27" s="123" t="str">
        <f>IF(inputPrYr!E34&gt;0,ROUND(+C27*G$52,0),"  ")</f>
        <v>  </v>
      </c>
      <c r="H27" s="123" t="str">
        <f>IF(inputPrYr!$E$34&gt;0,ROUND(C27*H$54,0)," ")</f>
        <v> </v>
      </c>
      <c r="I27" s="123" t="str">
        <f>IF(inputPrYr!$E$34&gt;0,ROUND(C27*I$56,0)," ")</f>
        <v> </v>
      </c>
      <c r="J27" s="91"/>
    </row>
    <row r="28" spans="1:10" ht="15.75">
      <c r="A28" s="45"/>
      <c r="B28" s="81" t="str">
        <f>IF((inputPrYr!$B35&gt;" "),(inputPrYr!$B35),"  ")</f>
        <v>  </v>
      </c>
      <c r="C28" s="123" t="str">
        <f>IF(inputPrYr!E35&gt;0,inputPrYr!E35,"  ")</f>
        <v>  </v>
      </c>
      <c r="D28" s="177" t="str">
        <f>IF(inputPrYr!F35&gt;0,(inputPrYr!F35),"  ")</f>
        <v>  </v>
      </c>
      <c r="E28" s="123" t="str">
        <f>IF(inputPrYr!E35&gt;0,ROUND(+C28*E$48,0),"  ")</f>
        <v>  </v>
      </c>
      <c r="F28" s="123" t="str">
        <f>IF(inputPrYr!E35&gt;0,ROUND(+C28*F$50,0),"  ")</f>
        <v>  </v>
      </c>
      <c r="G28" s="123" t="str">
        <f>IF(inputPrYr!E35&gt;0,ROUND(+C28*G$52,0),"  ")</f>
        <v>  </v>
      </c>
      <c r="H28" s="123" t="str">
        <f>IF(inputPrYr!$E$35&gt;0,ROUND(C28*H$54,0)," ")</f>
        <v> </v>
      </c>
      <c r="I28" s="123" t="str">
        <f>IF(inputPrYr!$E$35&gt;0,ROUND(C28*I$56,0)," ")</f>
        <v> </v>
      </c>
      <c r="J28" s="91"/>
    </row>
    <row r="29" spans="1:10" ht="15.75">
      <c r="A29" s="45"/>
      <c r="B29" s="81" t="str">
        <f>IF((inputPrYr!$B36&gt;" "),(inputPrYr!$B36),"  ")</f>
        <v>  </v>
      </c>
      <c r="C29" s="123" t="str">
        <f>IF(inputPrYr!E36&gt;0,inputPrYr!E36,"  ")</f>
        <v>  </v>
      </c>
      <c r="D29" s="177" t="str">
        <f>IF(inputPrYr!F36&gt;0,(inputPrYr!F36),"  ")</f>
        <v>  </v>
      </c>
      <c r="E29" s="123" t="str">
        <f>IF(inputPrYr!E36&gt;0,ROUND(+C29*E$48,0),"  ")</f>
        <v>  </v>
      </c>
      <c r="F29" s="123" t="str">
        <f>IF(inputPrYr!E36&gt;0,ROUND(+C29*F$50,0),"  ")</f>
        <v>  </v>
      </c>
      <c r="G29" s="123" t="str">
        <f>IF(inputPrYr!E36&gt;0,ROUND(+C29*G$52,0),"  ")</f>
        <v>  </v>
      </c>
      <c r="H29" s="123" t="str">
        <f>IF(inputPrYr!$E$36&gt;0,ROUND(C29*H$54,0)," ")</f>
        <v> </v>
      </c>
      <c r="I29" s="123" t="str">
        <f>IF(inputPrYr!$E$36&gt;0,ROUND(C29*I$56,0)," ")</f>
        <v> </v>
      </c>
      <c r="J29" s="91"/>
    </row>
    <row r="30" spans="1:10" ht="15.75">
      <c r="A30" s="45"/>
      <c r="B30" s="81" t="str">
        <f>IF((inputPrYr!$B37&gt;" "),(inputPrYr!$B37),"  ")</f>
        <v>  </v>
      </c>
      <c r="C30" s="123" t="str">
        <f>IF(inputPrYr!E37&gt;0,inputPrYr!E37,"  ")</f>
        <v>  </v>
      </c>
      <c r="D30" s="177" t="str">
        <f>IF(inputPrYr!F37&gt;0,(inputPrYr!F37),"  ")</f>
        <v>  </v>
      </c>
      <c r="E30" s="123" t="str">
        <f>IF(inputPrYr!E37&gt;0,ROUND(+C30*E$48,0),"  ")</f>
        <v>  </v>
      </c>
      <c r="F30" s="123" t="str">
        <f>IF(inputPrYr!E37&gt;0,ROUND(+C30*F$50,0),"  ")</f>
        <v>  </v>
      </c>
      <c r="G30" s="123" t="str">
        <f>IF(inputPrYr!E37&gt;0,ROUND(+C30*G$52,0),"  ")</f>
        <v>  </v>
      </c>
      <c r="H30" s="123" t="str">
        <f>IF(inputPrYr!$E$37&gt;0,ROUND(C30*H$54,0)," ")</f>
        <v> </v>
      </c>
      <c r="I30" s="123" t="str">
        <f>IF(inputPrYr!$E$37&gt;0,ROUND(C30*I$56,0)," ")</f>
        <v> </v>
      </c>
      <c r="J30" s="91"/>
    </row>
    <row r="31" spans="1:10" ht="15.75">
      <c r="A31" s="45"/>
      <c r="B31" s="81" t="str">
        <f>IF((inputPrYr!$B38&gt;" "),(inputPrYr!$B38),"  ")</f>
        <v>  </v>
      </c>
      <c r="C31" s="123" t="str">
        <f>IF(inputPrYr!E38&gt;0,inputPrYr!E38,"  ")</f>
        <v>  </v>
      </c>
      <c r="D31" s="177" t="str">
        <f>IF(inputPrYr!F38&gt;0,(inputPrYr!F38),"  ")</f>
        <v>  </v>
      </c>
      <c r="E31" s="123" t="str">
        <f>IF(inputPrYr!E38&gt;0,ROUND(+C31*E$48,0),"  ")</f>
        <v>  </v>
      </c>
      <c r="F31" s="123" t="str">
        <f>IF(inputPrYr!E38&gt;0,ROUND(+C31*F$50,0),"  ")</f>
        <v>  </v>
      </c>
      <c r="G31" s="123" t="str">
        <f>IF(inputPrYr!E38&gt;0,ROUND(+C31*G$52,0),"  ")</f>
        <v>  </v>
      </c>
      <c r="H31" s="123" t="str">
        <f>IF(inputPrYr!$E$38&gt;0,ROUND(C31*H$54,0)," ")</f>
        <v> </v>
      </c>
      <c r="I31" s="123" t="str">
        <f>IF(inputPrYr!$E$38&gt;0,ROUND(C31*I$56,0)," ")</f>
        <v> </v>
      </c>
      <c r="J31" s="91"/>
    </row>
    <row r="32" spans="1:10" ht="15.75">
      <c r="A32" s="45"/>
      <c r="B32" s="81" t="str">
        <f>IF((inputPrYr!$B39&gt;" "),(inputPrYr!$B39),"  ")</f>
        <v>  </v>
      </c>
      <c r="C32" s="123" t="str">
        <f>IF(inputPrYr!E39&gt;0,inputPrYr!E39,"  ")</f>
        <v>  </v>
      </c>
      <c r="D32" s="177" t="str">
        <f>IF(inputPrYr!F39&gt;0,(inputPrYr!F39),"  ")</f>
        <v>  </v>
      </c>
      <c r="E32" s="123" t="str">
        <f>IF(inputPrYr!E39&gt;0,ROUND(+C32*E$48,0),"  ")</f>
        <v>  </v>
      </c>
      <c r="F32" s="123" t="str">
        <f>IF(inputPrYr!E39&gt;0,ROUND(+C32*F$50,0),"  ")</f>
        <v>  </v>
      </c>
      <c r="G32" s="123" t="str">
        <f>IF(inputPrYr!E39&gt;0,ROUND(+C32*G$52,0),"  ")</f>
        <v>  </v>
      </c>
      <c r="H32" s="123" t="str">
        <f>IF(inputPrYr!$E$39&gt;0,ROUND(C32*H$54,0)," ")</f>
        <v> </v>
      </c>
      <c r="I32" s="123" t="str">
        <f>IF(inputPrYr!$E$39&gt;0,ROUND(C32*I$56,0)," ")</f>
        <v> </v>
      </c>
      <c r="J32" s="91"/>
    </row>
    <row r="33" spans="1:10" ht="15.75">
      <c r="A33" s="45"/>
      <c r="B33" s="81" t="str">
        <f>IF((inputPrYr!$B40&gt;" "),(inputPrYr!$B40),"  ")</f>
        <v>  </v>
      </c>
      <c r="C33" s="123" t="str">
        <f>IF(inputPrYr!E40&gt;0,inputPrYr!E40,"  ")</f>
        <v>  </v>
      </c>
      <c r="D33" s="177" t="str">
        <f>IF(inputPrYr!F40&gt;0,(inputPrYr!F40),"  ")</f>
        <v>  </v>
      </c>
      <c r="E33" s="123" t="str">
        <f>IF(inputPrYr!E40&gt;0,ROUND(+C33*E$48,0),"  ")</f>
        <v>  </v>
      </c>
      <c r="F33" s="123" t="str">
        <f>IF(inputPrYr!E40&gt;0,ROUND(+C33*F$50,0),"  ")</f>
        <v>  </v>
      </c>
      <c r="G33" s="123" t="str">
        <f>IF(inputPrYr!E40&gt;0,ROUND(+C33*G$52,0),"  ")</f>
        <v>  </v>
      </c>
      <c r="H33" s="123" t="str">
        <f>IF(inputPrYr!$E$40&gt;0,ROUND(C33*H$54,0)," ")</f>
        <v> </v>
      </c>
      <c r="I33" s="123" t="str">
        <f>IF(inputPrYr!$E$40&gt;0,ROUND(C33*I$56,0)," ")</f>
        <v> </v>
      </c>
      <c r="J33" s="91"/>
    </row>
    <row r="34" spans="1:10" ht="15.75">
      <c r="A34" s="45"/>
      <c r="B34" s="81" t="str">
        <f>IF((inputPrYr!$B41&gt;" "),(inputPrYr!$B41),"  ")</f>
        <v>  </v>
      </c>
      <c r="C34" s="123" t="str">
        <f>IF(inputPrYr!E41&gt;0,inputPrYr!E41,"  ")</f>
        <v>  </v>
      </c>
      <c r="D34" s="177" t="str">
        <f>IF(inputPrYr!F41&gt;0,(inputPrYr!F41),"  ")</f>
        <v>  </v>
      </c>
      <c r="E34" s="123" t="str">
        <f>IF(inputPrYr!E41&gt;0,ROUND(+C34*E$48,0),"  ")</f>
        <v>  </v>
      </c>
      <c r="F34" s="123" t="str">
        <f>IF(inputPrYr!E41&gt;0,ROUND(+C34*F$50,0),"  ")</f>
        <v>  </v>
      </c>
      <c r="G34" s="123" t="str">
        <f>IF(inputPrYr!E41&gt;0,ROUND(+C34*G$52,0),"  ")</f>
        <v>  </v>
      </c>
      <c r="H34" s="123" t="str">
        <f>IF(inputPrYr!$E$41&gt;0,ROUND(C34*H$54,0)," ")</f>
        <v> </v>
      </c>
      <c r="I34" s="123" t="str">
        <f>IF(inputPrYr!$E$41&gt;0,ROUND(C34*I$56,0)," ")</f>
        <v> </v>
      </c>
      <c r="J34" s="91"/>
    </row>
    <row r="35" spans="1:10" ht="21.75" customHeight="1" thickBot="1">
      <c r="A35" s="45"/>
      <c r="B35" s="59" t="s">
        <v>42</v>
      </c>
      <c r="C35" s="178">
        <f aca="true" t="shared" si="0" ref="C35:I35">SUM(C10:C34)</f>
        <v>0</v>
      </c>
      <c r="D35" s="179">
        <f t="shared" si="0"/>
        <v>0</v>
      </c>
      <c r="E35" s="178">
        <f t="shared" si="0"/>
        <v>0</v>
      </c>
      <c r="F35" s="178">
        <f t="shared" si="0"/>
        <v>0</v>
      </c>
      <c r="G35" s="178">
        <f t="shared" si="0"/>
        <v>0</v>
      </c>
      <c r="H35" s="178">
        <f t="shared" si="0"/>
        <v>0</v>
      </c>
      <c r="I35" s="178">
        <f t="shared" si="0"/>
        <v>0</v>
      </c>
      <c r="J35" s="91"/>
    </row>
    <row r="36" spans="1:10" ht="16.5" thickTop="1">
      <c r="A36" s="45"/>
      <c r="B36" s="45"/>
      <c r="C36" s="55"/>
      <c r="D36" s="55"/>
      <c r="E36" s="55"/>
      <c r="F36" s="55"/>
      <c r="G36" s="55"/>
      <c r="H36" s="55"/>
      <c r="I36" s="55"/>
      <c r="J36" s="180"/>
    </row>
    <row r="37" spans="1:10" ht="16.5" customHeight="1">
      <c r="A37" s="45"/>
      <c r="B37" s="44" t="s">
        <v>43</v>
      </c>
      <c r="C37" s="181"/>
      <c r="D37" s="181"/>
      <c r="E37" s="182">
        <f>(inputOth!E14)</f>
        <v>0</v>
      </c>
      <c r="F37" s="181"/>
      <c r="G37" s="55"/>
      <c r="H37" s="55"/>
      <c r="I37" s="55"/>
      <c r="J37" s="180"/>
    </row>
    <row r="38" spans="1:10" ht="16.5" customHeight="1">
      <c r="A38" s="45"/>
      <c r="B38" s="44"/>
      <c r="C38" s="181"/>
      <c r="D38" s="181"/>
      <c r="E38" s="183"/>
      <c r="F38" s="181"/>
      <c r="G38" s="55"/>
      <c r="H38" s="55"/>
      <c r="I38" s="55"/>
      <c r="J38" s="180"/>
    </row>
    <row r="39" spans="1:10" ht="16.5" customHeight="1">
      <c r="A39" s="45"/>
      <c r="B39" s="731" t="s">
        <v>947</v>
      </c>
      <c r="C39" s="55"/>
      <c r="D39" s="55"/>
      <c r="E39" s="55"/>
      <c r="F39" s="182">
        <f>(inputOth!E15)</f>
        <v>0</v>
      </c>
      <c r="G39" s="55"/>
      <c r="H39" s="55"/>
      <c r="I39" s="55"/>
      <c r="J39" s="180"/>
    </row>
    <row r="40" spans="1:10" ht="16.5" customHeight="1">
      <c r="A40" s="45"/>
      <c r="B40" s="44"/>
      <c r="C40" s="55"/>
      <c r="D40" s="55"/>
      <c r="E40" s="55"/>
      <c r="F40" s="183"/>
      <c r="G40" s="55"/>
      <c r="H40" s="55"/>
      <c r="I40" s="55"/>
      <c r="J40" s="180"/>
    </row>
    <row r="41" spans="1:10" ht="16.5" customHeight="1">
      <c r="A41" s="45"/>
      <c r="B41" s="731" t="s">
        <v>948</v>
      </c>
      <c r="C41" s="55"/>
      <c r="D41" s="55"/>
      <c r="E41" s="55"/>
      <c r="F41" s="55"/>
      <c r="G41" s="182">
        <f>inputOth!E16</f>
        <v>0</v>
      </c>
      <c r="H41" s="183"/>
      <c r="I41" s="183"/>
      <c r="J41" s="180"/>
    </row>
    <row r="42" spans="1:10" ht="16.5" customHeight="1">
      <c r="A42" s="45"/>
      <c r="B42" s="44"/>
      <c r="C42" s="55"/>
      <c r="D42" s="55"/>
      <c r="E42" s="55"/>
      <c r="F42" s="55"/>
      <c r="G42" s="183"/>
      <c r="H42" s="183"/>
      <c r="I42" s="183"/>
      <c r="J42" s="180"/>
    </row>
    <row r="43" spans="1:10" ht="16.5" customHeight="1">
      <c r="A43" s="45"/>
      <c r="B43" s="732" t="s">
        <v>949</v>
      </c>
      <c r="C43" s="55"/>
      <c r="D43" s="55"/>
      <c r="E43" s="55"/>
      <c r="F43" s="55"/>
      <c r="G43" s="183"/>
      <c r="H43" s="182">
        <f>inputOth!E17</f>
        <v>0</v>
      </c>
      <c r="I43" s="183"/>
      <c r="J43" s="180"/>
    </row>
    <row r="44" spans="1:10" ht="16.5" customHeight="1">
      <c r="A44" s="45"/>
      <c r="B44" s="44"/>
      <c r="C44" s="55"/>
      <c r="D44" s="55"/>
      <c r="E44" s="55"/>
      <c r="F44" s="55"/>
      <c r="G44" s="183"/>
      <c r="H44" s="183"/>
      <c r="I44" s="183"/>
      <c r="J44" s="180"/>
    </row>
    <row r="45" spans="1:10" ht="16.5" customHeight="1">
      <c r="A45" s="45"/>
      <c r="B45" s="733" t="s">
        <v>950</v>
      </c>
      <c r="C45" s="55"/>
      <c r="D45" s="55"/>
      <c r="E45" s="55"/>
      <c r="F45" s="55"/>
      <c r="G45" s="183"/>
      <c r="H45" s="183"/>
      <c r="I45" s="182">
        <f>inputOth!E18</f>
        <v>0</v>
      </c>
      <c r="J45" s="180"/>
    </row>
    <row r="46" spans="1:10" ht="16.5" customHeight="1">
      <c r="A46" s="45"/>
      <c r="B46" s="45"/>
      <c r="C46" s="55"/>
      <c r="D46" s="55"/>
      <c r="E46" s="55"/>
      <c r="F46" s="55"/>
      <c r="G46" s="55"/>
      <c r="H46" s="55"/>
      <c r="I46" s="55"/>
      <c r="J46" s="180"/>
    </row>
    <row r="47" spans="1:10" ht="16.5" customHeight="1">
      <c r="A47" s="719"/>
      <c r="B47" s="719"/>
      <c r="C47" s="720"/>
      <c r="D47" s="720"/>
      <c r="E47" s="720"/>
      <c r="F47" s="720"/>
      <c r="G47" s="720"/>
      <c r="H47" s="720"/>
      <c r="I47" s="720"/>
      <c r="J47" s="721"/>
    </row>
    <row r="48" spans="1:10" ht="16.5" customHeight="1">
      <c r="A48" s="719"/>
      <c r="B48" s="722" t="s">
        <v>44</v>
      </c>
      <c r="C48" s="720"/>
      <c r="D48" s="720"/>
      <c r="E48" s="723">
        <f>IF(C35=0,0,E37/C35)</f>
        <v>0</v>
      </c>
      <c r="F48" s="720"/>
      <c r="G48" s="720"/>
      <c r="H48" s="720"/>
      <c r="I48" s="720"/>
      <c r="J48" s="721"/>
    </row>
    <row r="49" spans="1:10" ht="16.5" customHeight="1">
      <c r="A49" s="719"/>
      <c r="B49" s="722"/>
      <c r="C49" s="720"/>
      <c r="D49" s="720"/>
      <c r="E49" s="724"/>
      <c r="F49" s="720"/>
      <c r="G49" s="720"/>
      <c r="H49" s="720"/>
      <c r="I49" s="720"/>
      <c r="J49" s="721"/>
    </row>
    <row r="50" spans="1:10" ht="16.5" customHeight="1">
      <c r="A50" s="719"/>
      <c r="B50" s="722" t="s">
        <v>208</v>
      </c>
      <c r="C50" s="720"/>
      <c r="D50" s="720"/>
      <c r="E50" s="720"/>
      <c r="F50" s="723">
        <f>IF(C35=0,0,F39/C35)</f>
        <v>0</v>
      </c>
      <c r="G50" s="720"/>
      <c r="H50" s="720"/>
      <c r="I50" s="720"/>
      <c r="J50" s="721"/>
    </row>
    <row r="51" spans="1:10" ht="16.5" customHeight="1">
      <c r="A51" s="719"/>
      <c r="B51" s="722"/>
      <c r="C51" s="720"/>
      <c r="D51" s="720"/>
      <c r="E51" s="720"/>
      <c r="F51" s="724"/>
      <c r="G51" s="720"/>
      <c r="H51" s="720"/>
      <c r="I51" s="720"/>
      <c r="J51" s="721"/>
    </row>
    <row r="52" spans="1:10" ht="16.5" customHeight="1">
      <c r="A52" s="719"/>
      <c r="B52" s="722" t="s">
        <v>207</v>
      </c>
      <c r="C52" s="720"/>
      <c r="D52" s="720"/>
      <c r="E52" s="720"/>
      <c r="F52" s="720"/>
      <c r="G52" s="723">
        <f>IF(C35=0,0,G41/C35)</f>
        <v>0</v>
      </c>
      <c r="H52" s="724"/>
      <c r="I52" s="724"/>
      <c r="J52" s="721"/>
    </row>
    <row r="53" spans="1:10" ht="16.5" customHeight="1">
      <c r="A53" s="719"/>
      <c r="B53" s="722"/>
      <c r="C53" s="720"/>
      <c r="D53" s="720"/>
      <c r="E53" s="720"/>
      <c r="F53" s="720"/>
      <c r="G53" s="724"/>
      <c r="H53" s="724"/>
      <c r="I53" s="724"/>
      <c r="J53" s="721"/>
    </row>
    <row r="54" spans="1:10" ht="16.5" customHeight="1">
      <c r="A54" s="719"/>
      <c r="B54" s="722"/>
      <c r="C54" s="720"/>
      <c r="D54" s="720"/>
      <c r="E54" s="720"/>
      <c r="F54" s="734" t="s">
        <v>951</v>
      </c>
      <c r="G54" s="724"/>
      <c r="H54" s="723">
        <f>IF(C35=0,0,H43/C35)</f>
        <v>0</v>
      </c>
      <c r="I54" s="724"/>
      <c r="J54" s="721"/>
    </row>
    <row r="55" spans="1:10" ht="16.5" customHeight="1">
      <c r="A55" s="719"/>
      <c r="B55" s="722"/>
      <c r="C55" s="720"/>
      <c r="D55" s="720"/>
      <c r="E55" s="720"/>
      <c r="F55" s="720"/>
      <c r="G55" s="724"/>
      <c r="H55" s="724"/>
      <c r="I55" s="724"/>
      <c r="J55" s="721"/>
    </row>
    <row r="56" spans="1:10" ht="16.5" customHeight="1">
      <c r="A56" s="719"/>
      <c r="B56" s="722"/>
      <c r="C56" s="720"/>
      <c r="D56" s="720"/>
      <c r="E56" s="720"/>
      <c r="F56" s="720"/>
      <c r="G56" s="734" t="s">
        <v>952</v>
      </c>
      <c r="H56" s="724"/>
      <c r="I56" s="723">
        <f>IF(C35=0,0,I45/C35)</f>
        <v>0</v>
      </c>
      <c r="J56" s="721"/>
    </row>
    <row r="57" spans="1:10" s="89" customFormat="1" ht="16.5" customHeight="1">
      <c r="A57" s="719"/>
      <c r="B57" s="725"/>
      <c r="C57" s="726"/>
      <c r="D57" s="726"/>
      <c r="E57" s="726"/>
      <c r="F57" s="726"/>
      <c r="G57" s="726"/>
      <c r="H57" s="726"/>
      <c r="I57" s="726"/>
      <c r="J57" s="726"/>
    </row>
    <row r="58" spans="1:10" s="89" customFormat="1" ht="16.5" customHeight="1">
      <c r="A58" s="719"/>
      <c r="B58" s="725"/>
      <c r="C58" s="726"/>
      <c r="D58" s="726"/>
      <c r="E58" s="726"/>
      <c r="F58" s="726"/>
      <c r="G58" s="726"/>
      <c r="H58" s="726"/>
      <c r="I58" s="726"/>
      <c r="J58" s="726"/>
    </row>
    <row r="59" spans="1:10" s="158" customFormat="1" ht="16.5" customHeight="1">
      <c r="A59" s="719"/>
      <c r="B59" s="725"/>
      <c r="C59" s="726"/>
      <c r="D59" s="726"/>
      <c r="E59" s="726"/>
      <c r="F59" s="726"/>
      <c r="G59" s="726"/>
      <c r="H59" s="726"/>
      <c r="I59" s="726"/>
      <c r="J59" s="726"/>
    </row>
    <row r="60" spans="2:10" s="89" customFormat="1" ht="15" customHeight="1">
      <c r="B60" s="26"/>
      <c r="C60" s="26"/>
      <c r="D60" s="26"/>
      <c r="E60" s="26"/>
      <c r="F60" s="26"/>
      <c r="G60" s="26"/>
      <c r="H60" s="26"/>
      <c r="I60" s="26"/>
      <c r="J60" s="26"/>
    </row>
    <row r="61" spans="2:10" s="89" customFormat="1" ht="15" customHeight="1">
      <c r="B61" s="26"/>
      <c r="C61" s="26"/>
      <c r="D61" s="26"/>
      <c r="E61" s="26"/>
      <c r="F61" s="26"/>
      <c r="G61" s="26"/>
      <c r="H61" s="26"/>
      <c r="I61" s="26"/>
      <c r="J61" s="26"/>
    </row>
    <row r="62" spans="2:10" s="89" customFormat="1" ht="15" customHeight="1">
      <c r="B62" s="26"/>
      <c r="C62" s="26"/>
      <c r="D62" s="26"/>
      <c r="E62" s="26"/>
      <c r="F62" s="26"/>
      <c r="G62" s="26"/>
      <c r="H62" s="26"/>
      <c r="I62" s="26"/>
      <c r="J62" s="26"/>
    </row>
    <row r="63" spans="2:10" s="89" customFormat="1" ht="15" customHeight="1">
      <c r="B63" s="26"/>
      <c r="C63" s="26"/>
      <c r="D63" s="26"/>
      <c r="E63" s="26"/>
      <c r="F63" s="26"/>
      <c r="G63" s="26"/>
      <c r="H63" s="26"/>
      <c r="I63" s="26"/>
      <c r="J63" s="26"/>
    </row>
    <row r="64" spans="2:10" s="89" customFormat="1" ht="15" customHeight="1">
      <c r="B64" s="26"/>
      <c r="C64" s="26"/>
      <c r="D64" s="26"/>
      <c r="E64" s="26"/>
      <c r="F64" s="26"/>
      <c r="G64" s="26"/>
      <c r="H64" s="26"/>
      <c r="I64" s="26"/>
      <c r="J64" s="26"/>
    </row>
    <row r="65" spans="2:10" s="89" customFormat="1" ht="15" customHeight="1">
      <c r="B65" s="26"/>
      <c r="C65" s="26"/>
      <c r="D65" s="26"/>
      <c r="E65" s="26"/>
      <c r="F65" s="26"/>
      <c r="G65" s="26"/>
      <c r="H65" s="26"/>
      <c r="I65" s="26"/>
      <c r="J65" s="26"/>
    </row>
    <row r="66" spans="2:10" s="89" customFormat="1" ht="15" customHeight="1">
      <c r="B66" s="26"/>
      <c r="C66" s="26"/>
      <c r="D66" s="26"/>
      <c r="E66" s="26"/>
      <c r="F66" s="26"/>
      <c r="G66" s="26"/>
      <c r="H66" s="26"/>
      <c r="I66" s="26"/>
      <c r="J66" s="26"/>
    </row>
    <row r="67" spans="2:10" s="89" customFormat="1" ht="15" customHeight="1">
      <c r="B67" s="26"/>
      <c r="C67" s="26"/>
      <c r="D67" s="26"/>
      <c r="E67" s="26"/>
      <c r="F67" s="26"/>
      <c r="G67" s="26"/>
      <c r="H67" s="26"/>
      <c r="I67" s="26"/>
      <c r="J67" s="26"/>
    </row>
    <row r="68" spans="2:10" s="89" customFormat="1" ht="15" customHeight="1">
      <c r="B68" s="26"/>
      <c r="C68" s="26"/>
      <c r="D68" s="26"/>
      <c r="E68" s="26"/>
      <c r="F68" s="26"/>
      <c r="G68" s="26"/>
      <c r="H68" s="26"/>
      <c r="I68" s="26"/>
      <c r="J68" s="26"/>
    </row>
    <row r="69" spans="2:10" s="89" customFormat="1" ht="15" customHeight="1">
      <c r="B69" s="26"/>
      <c r="C69" s="26"/>
      <c r="D69" s="26"/>
      <c r="E69" s="26"/>
      <c r="F69" s="26"/>
      <c r="G69" s="26"/>
      <c r="H69" s="26"/>
      <c r="I69" s="26"/>
      <c r="J69" s="26"/>
    </row>
    <row r="70" spans="2:10" s="89" customFormat="1" ht="15" customHeight="1">
      <c r="B70" s="26"/>
      <c r="C70" s="26"/>
      <c r="D70" s="26"/>
      <c r="E70" s="26"/>
      <c r="F70" s="26"/>
      <c r="G70" s="26"/>
      <c r="H70" s="26"/>
      <c r="I70" s="26"/>
      <c r="J70" s="26"/>
    </row>
    <row r="71" spans="2:10" s="89" customFormat="1" ht="15" customHeight="1">
      <c r="B71" s="26"/>
      <c r="C71" s="26"/>
      <c r="D71" s="26"/>
      <c r="E71" s="26"/>
      <c r="F71" s="26"/>
      <c r="G71" s="26"/>
      <c r="H71" s="26"/>
      <c r="I71" s="26"/>
      <c r="J71" s="26"/>
    </row>
    <row r="72" spans="2:10" s="89" customFormat="1" ht="15" customHeight="1">
      <c r="B72" s="26"/>
      <c r="C72" s="26"/>
      <c r="D72" s="26"/>
      <c r="E72" s="26"/>
      <c r="F72" s="26"/>
      <c r="G72" s="26"/>
      <c r="H72" s="26"/>
      <c r="I72" s="26"/>
      <c r="J72" s="26"/>
    </row>
    <row r="73" spans="2:10" s="89" customFormat="1" ht="15" customHeight="1">
      <c r="B73" s="26"/>
      <c r="C73" s="26"/>
      <c r="D73" s="26"/>
      <c r="E73" s="26"/>
      <c r="F73" s="26"/>
      <c r="G73" s="26"/>
      <c r="H73" s="26"/>
      <c r="I73" s="26"/>
      <c r="J73" s="26"/>
    </row>
  </sheetData>
  <sheetProtection sheet="1"/>
  <mergeCells count="4">
    <mergeCell ref="C8:C9"/>
    <mergeCell ref="D8:D9"/>
    <mergeCell ref="E8:I8"/>
    <mergeCell ref="A5:J5"/>
  </mergeCells>
  <printOptions/>
  <pageMargins left="0.25" right="0.25" top="0.75" bottom="0.75" header="0.3" footer="0.3"/>
  <pageSetup blackAndWhite="1" fitToHeight="1" fitToWidth="1" horizontalDpi="120" verticalDpi="120" orientation="portrait" scale="68" r:id="rId1"/>
  <headerFooter alignWithMargins="0">
    <oddHeader>&amp;RState of Kansas
County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Q78" sqref="Q78"/>
    </sheetView>
  </sheetViews>
  <sheetFormatPr defaultColWidth="8.796875" defaultRowHeight="15"/>
  <cols>
    <col min="1" max="2" width="17.796875" style="89" customWidth="1"/>
    <col min="3" max="6" width="12.796875" style="89" customWidth="1"/>
    <col min="7" max="16384" width="8.8984375" style="89" customWidth="1"/>
  </cols>
  <sheetData>
    <row r="1" spans="1:6" ht="15.75">
      <c r="A1" s="160"/>
      <c r="B1" s="45"/>
      <c r="C1" s="45"/>
      <c r="D1" s="45"/>
      <c r="E1" s="79"/>
      <c r="F1" s="45">
        <f>inputPrYr!C5</f>
        <v>0</v>
      </c>
    </row>
    <row r="2" spans="1:6" ht="15.75">
      <c r="A2" s="90">
        <f>inputPrYr!C3</f>
        <v>0</v>
      </c>
      <c r="B2" s="90"/>
      <c r="C2" s="45"/>
      <c r="D2" s="45"/>
      <c r="E2" s="79"/>
      <c r="F2" s="45"/>
    </row>
    <row r="3" spans="1:6" ht="15.75">
      <c r="A3" s="160"/>
      <c r="B3" s="90"/>
      <c r="C3" s="45"/>
      <c r="D3" s="45"/>
      <c r="E3" s="79"/>
      <c r="F3" s="45"/>
    </row>
    <row r="4" spans="1:6" ht="15.75">
      <c r="A4" s="160"/>
      <c r="B4" s="45"/>
      <c r="C4" s="45"/>
      <c r="D4" s="45"/>
      <c r="E4" s="79"/>
      <c r="F4" s="45"/>
    </row>
    <row r="5" spans="1:6" ht="15" customHeight="1">
      <c r="A5" s="835" t="s">
        <v>199</v>
      </c>
      <c r="B5" s="835"/>
      <c r="C5" s="835"/>
      <c r="D5" s="835"/>
      <c r="E5" s="835"/>
      <c r="F5" s="835"/>
    </row>
    <row r="6" spans="1:6" ht="14.25" customHeight="1">
      <c r="A6" s="161"/>
      <c r="B6" s="186"/>
      <c r="C6" s="186"/>
      <c r="D6" s="186"/>
      <c r="E6" s="186"/>
      <c r="F6" s="186"/>
    </row>
    <row r="7" spans="1:6" ht="15" customHeight="1">
      <c r="A7" s="187" t="s">
        <v>656</v>
      </c>
      <c r="B7" s="187" t="s">
        <v>657</v>
      </c>
      <c r="C7" s="188" t="s">
        <v>116</v>
      </c>
      <c r="D7" s="188" t="s">
        <v>204</v>
      </c>
      <c r="E7" s="187" t="s">
        <v>205</v>
      </c>
      <c r="F7" s="187" t="s">
        <v>228</v>
      </c>
    </row>
    <row r="8" spans="1:6" ht="15" customHeight="1">
      <c r="A8" s="189" t="s">
        <v>658</v>
      </c>
      <c r="B8" s="189" t="s">
        <v>659</v>
      </c>
      <c r="C8" s="190" t="s">
        <v>227</v>
      </c>
      <c r="D8" s="190" t="s">
        <v>227</v>
      </c>
      <c r="E8" s="190" t="s">
        <v>227</v>
      </c>
      <c r="F8" s="190" t="s">
        <v>206</v>
      </c>
    </row>
    <row r="9" spans="1:6" s="158" customFormat="1" ht="15" customHeight="1" thickBot="1">
      <c r="A9" s="191" t="s">
        <v>225</v>
      </c>
      <c r="B9" s="192" t="s">
        <v>226</v>
      </c>
      <c r="C9" s="192">
        <f>F1-2</f>
        <v>-2</v>
      </c>
      <c r="D9" s="192">
        <f>F1-1</f>
        <v>-1</v>
      </c>
      <c r="E9" s="192">
        <f>F1</f>
        <v>0</v>
      </c>
      <c r="F9" s="192" t="s">
        <v>17</v>
      </c>
    </row>
    <row r="10" spans="1:6" ht="15" customHeight="1" thickTop="1">
      <c r="A10" s="193"/>
      <c r="B10" s="193"/>
      <c r="C10" s="194"/>
      <c r="D10" s="194"/>
      <c r="E10" s="194"/>
      <c r="F10" s="193"/>
    </row>
    <row r="11" spans="1:6" ht="15" customHeight="1">
      <c r="A11" s="63"/>
      <c r="B11" s="63"/>
      <c r="C11" s="195"/>
      <c r="D11" s="195"/>
      <c r="E11" s="195"/>
      <c r="F11" s="193"/>
    </row>
    <row r="12" spans="1:6" ht="15" customHeight="1">
      <c r="A12" s="63"/>
      <c r="B12" s="63"/>
      <c r="C12" s="195"/>
      <c r="D12" s="195"/>
      <c r="E12" s="195"/>
      <c r="F12" s="193"/>
    </row>
    <row r="13" spans="1:6" ht="15" customHeight="1">
      <c r="A13" s="63"/>
      <c r="B13" s="63"/>
      <c r="C13" s="195"/>
      <c r="D13" s="195"/>
      <c r="E13" s="195"/>
      <c r="F13" s="193"/>
    </row>
    <row r="14" spans="1:6" ht="15" customHeight="1">
      <c r="A14" s="63"/>
      <c r="B14" s="63"/>
      <c r="C14" s="195"/>
      <c r="D14" s="195"/>
      <c r="E14" s="195"/>
      <c r="F14" s="193"/>
    </row>
    <row r="15" spans="1:6" ht="15" customHeight="1">
      <c r="A15" s="63"/>
      <c r="B15" s="63"/>
      <c r="C15" s="195"/>
      <c r="D15" s="195"/>
      <c r="E15" s="195"/>
      <c r="F15" s="193"/>
    </row>
    <row r="16" spans="1:6" ht="15" customHeight="1">
      <c r="A16" s="63"/>
      <c r="B16" s="63"/>
      <c r="C16" s="195"/>
      <c r="D16" s="195"/>
      <c r="E16" s="195"/>
      <c r="F16" s="193"/>
    </row>
    <row r="17" spans="1:6" ht="15" customHeight="1">
      <c r="A17" s="63"/>
      <c r="B17" s="63"/>
      <c r="C17" s="195"/>
      <c r="D17" s="195"/>
      <c r="E17" s="195"/>
      <c r="F17" s="193"/>
    </row>
    <row r="18" spans="1:6" ht="15" customHeight="1">
      <c r="A18" s="63"/>
      <c r="B18" s="63"/>
      <c r="C18" s="195"/>
      <c r="D18" s="195"/>
      <c r="E18" s="195"/>
      <c r="F18" s="193"/>
    </row>
    <row r="19" spans="1:6" ht="15" customHeight="1">
      <c r="A19" s="63"/>
      <c r="B19" s="63"/>
      <c r="C19" s="195"/>
      <c r="D19" s="195"/>
      <c r="E19" s="195"/>
      <c r="F19" s="193"/>
    </row>
    <row r="20" spans="1:6" ht="15" customHeight="1">
      <c r="A20" s="63"/>
      <c r="B20" s="63"/>
      <c r="C20" s="195"/>
      <c r="D20" s="195"/>
      <c r="E20" s="195"/>
      <c r="F20" s="193"/>
    </row>
    <row r="21" spans="1:6" ht="15" customHeight="1">
      <c r="A21" s="63"/>
      <c r="B21" s="63"/>
      <c r="C21" s="195"/>
      <c r="D21" s="195"/>
      <c r="E21" s="195"/>
      <c r="F21" s="193"/>
    </row>
    <row r="22" spans="1:6" ht="15" customHeight="1">
      <c r="A22" s="63"/>
      <c r="B22" s="63"/>
      <c r="C22" s="195"/>
      <c r="D22" s="195"/>
      <c r="E22" s="195"/>
      <c r="F22" s="193"/>
    </row>
    <row r="23" spans="1:6" ht="15" customHeight="1">
      <c r="A23" s="63"/>
      <c r="B23" s="63"/>
      <c r="C23" s="195"/>
      <c r="D23" s="195"/>
      <c r="E23" s="195"/>
      <c r="F23" s="193"/>
    </row>
    <row r="24" spans="1:6" ht="15" customHeight="1">
      <c r="A24" s="63"/>
      <c r="B24" s="63"/>
      <c r="C24" s="195"/>
      <c r="D24" s="195"/>
      <c r="E24" s="195"/>
      <c r="F24" s="193"/>
    </row>
    <row r="25" spans="1:6" ht="15" customHeight="1">
      <c r="A25" s="63"/>
      <c r="B25" s="63"/>
      <c r="C25" s="195"/>
      <c r="D25" s="195"/>
      <c r="E25" s="195"/>
      <c r="F25" s="193"/>
    </row>
    <row r="26" spans="1:6" ht="15" customHeight="1">
      <c r="A26" s="63"/>
      <c r="B26" s="63"/>
      <c r="C26" s="195"/>
      <c r="D26" s="195"/>
      <c r="E26" s="195"/>
      <c r="F26" s="193"/>
    </row>
    <row r="27" spans="1:6" ht="15.75">
      <c r="A27" s="82"/>
      <c r="B27" s="196" t="s">
        <v>19</v>
      </c>
      <c r="C27" s="70">
        <f>SUM(C10:C26)</f>
        <v>0</v>
      </c>
      <c r="D27" s="70">
        <f>SUM(D10:D26)</f>
        <v>0</v>
      </c>
      <c r="E27" s="70">
        <f>SUM(E10:E26)</f>
        <v>0</v>
      </c>
      <c r="F27" s="82"/>
    </row>
    <row r="28" spans="1:6" ht="15.75">
      <c r="A28" s="82"/>
      <c r="B28" s="197" t="s">
        <v>655</v>
      </c>
      <c r="C28" s="82"/>
      <c r="D28" s="63"/>
      <c r="E28" s="63"/>
      <c r="F28" s="82"/>
    </row>
    <row r="29" spans="1:6" ht="15.75">
      <c r="A29" s="82"/>
      <c r="B29" s="196" t="s">
        <v>229</v>
      </c>
      <c r="C29" s="70">
        <f>C27</f>
        <v>0</v>
      </c>
      <c r="D29" s="70">
        <f>SUM(D27-D28)</f>
        <v>0</v>
      </c>
      <c r="E29" s="70">
        <f>SUM(E27-E28)</f>
        <v>0</v>
      </c>
      <c r="F29" s="82"/>
    </row>
    <row r="30" spans="1:6" ht="15.75">
      <c r="A30" s="82"/>
      <c r="B30" s="82"/>
      <c r="C30" s="82"/>
      <c r="D30" s="82"/>
      <c r="E30" s="82"/>
      <c r="F30" s="82"/>
    </row>
    <row r="31" spans="1:6" ht="15.75">
      <c r="A31" s="82"/>
      <c r="B31" s="82"/>
      <c r="C31" s="82"/>
      <c r="D31" s="82"/>
      <c r="E31" s="82"/>
      <c r="F31" s="82"/>
    </row>
    <row r="32" spans="1:6" ht="15.75">
      <c r="A32" s="379" t="s">
        <v>660</v>
      </c>
      <c r="B32" s="380" t="str">
        <f>CONCATENATE("Adjustments are required only if the transfer is being made in ",D9," and/or ",E9," from a non-budgeted fund.")</f>
        <v>Adjustments are required only if the transfer is being made in -1 and/or 0 from a non-budgeted fund.</v>
      </c>
      <c r="C32" s="82"/>
      <c r="D32" s="82"/>
      <c r="E32" s="82"/>
      <c r="F32" s="82"/>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County</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2015-10-19T21:39:26Z</cp:lastPrinted>
  <dcterms:created xsi:type="dcterms:W3CDTF">1998-08-26T13:26:11Z</dcterms:created>
  <dcterms:modified xsi:type="dcterms:W3CDTF">2016-06-05T14:45:07Z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