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Pub. Notice Option 1" sheetId="40" r:id="rId40"/>
    <sheet name="Pub. Notice Option 2" sheetId="41" r:id="rId41"/>
    <sheet name="Pub. Notice Option 3" sheetId="42" r:id="rId42"/>
    <sheet name="Resolution" sheetId="43" r:id="rId43"/>
    <sheet name="Tab A" sheetId="44" r:id="rId44"/>
    <sheet name="Tab B" sheetId="45" r:id="rId45"/>
    <sheet name="Tab C" sheetId="46" r:id="rId46"/>
    <sheet name="Tab D" sheetId="47" r:id="rId47"/>
    <sheet name="Tab E" sheetId="48" r:id="rId48"/>
    <sheet name="Mill Rate Computation" sheetId="49" r:id="rId49"/>
    <sheet name="Helpful Links" sheetId="50" r:id="rId50"/>
    <sheet name="legend" sheetId="51" r:id="rId51"/>
  </sheets>
  <definedNames>
    <definedName name="_xlnm.Print_Area" localSheetId="5">'computation'!$A$1:$J$54</definedName>
    <definedName name="_xlnm.Print_Area" localSheetId="14">'DebtSvs-Library'!$B$1:$E$86</definedName>
    <definedName name="_xlnm.Print_Area" localSheetId="13">'GenDetail'!$A$1:$D$133</definedName>
    <definedName name="_xlnm.Print_Area" localSheetId="12">'general'!$B$1:$E$122</definedName>
    <definedName name="_xlnm.Print_Area" localSheetId="1">'inputPrYr'!$A$1:$E$130</definedName>
    <definedName name="_xlnm.Print_Area" localSheetId="16">'levy page10'!$B$1:$E$86</definedName>
    <definedName name="_xlnm.Print_Area" localSheetId="17">'levy page11'!$A$1:$E$86</definedName>
    <definedName name="_xlnm.Print_Area" localSheetId="18">'levy page12'!$A$1:$E$86</definedName>
    <definedName name="_xlnm.Print_Area" localSheetId="19">'levy page13'!$A$1:$E$86</definedName>
    <definedName name="_xlnm.Print_Area" localSheetId="15">'levy page9'!$A$1:$E$86</definedName>
    <definedName name="_xlnm.Print_Area" localSheetId="11">'Library Grant '!$A$1:$J$39</definedName>
    <definedName name="_xlnm.Print_Area" localSheetId="10">'lpform'!$B$1:$I$38</definedName>
    <definedName name="_xlnm.Print_Area" localSheetId="48">'Mill Rate Computation'!$B$4:$K$144</definedName>
    <definedName name="_xlnm.Print_Area" localSheetId="37">'summ'!$A$1:$H$76</definedName>
  </definedNames>
  <calcPr fullCalcOnLoad="1"/>
</workbook>
</file>

<file path=xl/sharedStrings.xml><?xml version="1.0" encoding="utf-8"?>
<sst xmlns="http://schemas.openxmlformats.org/spreadsheetml/2006/main" count="2336" uniqueCount="1051">
  <si>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</si>
  <si>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</si>
  <si>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</si>
  <si>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</si>
  <si>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</si>
  <si>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</si>
  <si>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</si>
  <si>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</si>
  <si>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</si>
  <si>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</si>
  <si>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</si>
  <si>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</si>
  <si>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</si>
  <si>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</si>
  <si>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</si>
  <si>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</si>
  <si>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</si>
  <si>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</si>
  <si>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</si>
  <si>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</si>
  <si>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</si>
  <si>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</si>
  <si>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</si>
  <si>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</si>
  <si>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</si>
  <si>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</si>
  <si>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</si>
  <si>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</si>
  <si>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</si>
  <si>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</si>
  <si>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</si>
  <si>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</si>
  <si>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</si>
  <si>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</si>
  <si>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</si>
  <si>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</si>
  <si>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</si>
  <si>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</si>
  <si>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</si>
  <si>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</si>
  <si>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</si>
  <si>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</si>
  <si>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</si>
  <si>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</si>
  <si>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</si>
  <si>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</si>
  <si>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</si>
  <si>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</si>
  <si>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</si>
  <si>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</si>
  <si>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</si>
  <si>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</si>
  <si>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</si>
  <si>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</si>
  <si>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</si>
  <si>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</si>
  <si>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</si>
  <si>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</si>
  <si>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</si>
  <si>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</si>
  <si>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</si>
  <si>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</si>
  <si>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</si>
  <si>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</si>
  <si>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</si>
  <si>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</si>
  <si>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</si>
  <si>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</si>
  <si>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</si>
  <si>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</si>
  <si>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</si>
  <si>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</si>
  <si>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</si>
  <si>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</si>
  <si>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LAVTR</t>
  </si>
  <si>
    <t>City and County Revenue Sharing</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</si>
  <si>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</si>
  <si>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</si>
  <si>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</si>
  <si>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</si>
  <si>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</si>
  <si>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</si>
  <si>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</si>
  <si>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</si>
  <si>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</si>
  <si>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</si>
  <si>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</si>
  <si>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</si>
  <si>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</si>
  <si>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</si>
  <si>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</si>
  <si>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</si>
  <si>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</si>
  <si>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</si>
  <si>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</si>
  <si>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</si>
  <si>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</si>
  <si>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</si>
  <si>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</si>
  <si>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</si>
  <si>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</si>
  <si>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</si>
  <si>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</si>
  <si>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</si>
  <si>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</si>
  <si>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</si>
  <si>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</si>
  <si>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</si>
  <si>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</si>
  <si>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</si>
  <si>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</si>
  <si>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</si>
  <si>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</si>
  <si>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</si>
  <si>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</si>
  <si>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</si>
  <si>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</si>
  <si>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</si>
  <si>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</si>
  <si>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</si>
  <si>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</si>
  <si>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</si>
  <si>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</si>
  <si>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</si>
  <si>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</si>
  <si>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</si>
  <si>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</si>
  <si>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</si>
  <si>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</si>
  <si>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</si>
  <si>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</si>
  <si>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</si>
  <si>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</si>
  <si>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t>
  </si>
  <si>
    <t>**Note: The two bold yellow figures should agree.</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</si>
  <si>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</si>
  <si>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</si>
  <si>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</si>
  <si>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</si>
  <si>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</si>
  <si>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</si>
  <si>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</si>
  <si>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</si>
  <si>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</si>
  <si>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1st</t>
  </si>
  <si>
    <t>2nd</t>
  </si>
  <si>
    <t>3rd</t>
  </si>
  <si>
    <t>Assessed Valuation:</t>
  </si>
  <si>
    <t>Total Assessed Valuation</t>
  </si>
  <si>
    <t>certify that: (1) the hearing mentioned in the attached publication was held; (2) after the Budget Hearing this budget</t>
  </si>
  <si>
    <t>Attest:_____________________,</t>
  </si>
  <si>
    <t>Recreational Vehicle</t>
  </si>
  <si>
    <t xml:space="preserve">16\20 M Vehicle </t>
  </si>
  <si>
    <t xml:space="preserve">Motor              Vehicle </t>
  </si>
  <si>
    <t>Total Vehicle Tax Estimates</t>
  </si>
  <si>
    <r>
      <t>**</t>
    </r>
    <r>
      <rPr>
        <b/>
        <u val="single"/>
        <sz val="12"/>
        <rFont val="Times New Roman"/>
        <family val="1"/>
      </rPr>
      <t>Note</t>
    </r>
    <r>
      <rPr>
        <sz val="12"/>
        <rFont val="Times New Roman"/>
        <family val="1"/>
      </rPr>
      <t>: The delinquency rate can be up to 5% more than the actual delinquency rate from the previous year.</t>
    </r>
  </si>
  <si>
    <t xml:space="preserve">Neighborhood Revitalization </t>
  </si>
  <si>
    <t xml:space="preserve">Cities can use the city.xls, city1.xls, city2, city3 or city4.xls files.   You must choose a form that meets the needs for the number of funds.  If you don't need all the funds, just leave the pages blank and number the completed pages sequentially. </t>
  </si>
  <si>
    <t>Funds</t>
  </si>
  <si>
    <t xml:space="preserve">expenditure amounts should reflect the amended </t>
  </si>
  <si>
    <t>expenditure amounts.</t>
  </si>
  <si>
    <t>Neigborhood Revitalization Rebate</t>
  </si>
  <si>
    <t>Neighborhood Revitalization Rebate</t>
  </si>
  <si>
    <t>Miscellaneous</t>
  </si>
  <si>
    <t>Does miscellaneous exceed 10% of Total Expenditure</t>
  </si>
  <si>
    <t>Does miscellaneous exceed 10% of Total Receipts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</si>
  <si>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</si>
  <si>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</si>
  <si>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</si>
  <si>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37. Change Certificate page total for mil rates from 0 to blank.</t>
  </si>
  <si>
    <t>Cash Balance Jan 1</t>
  </si>
  <si>
    <t>39. Added 'excluding oil, gas, and mobile homes' on Clerks budget info on tab inputoth.</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</si>
  <si>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</si>
  <si>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</si>
  <si>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</si>
  <si>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</si>
  <si>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 xml:space="preserve">Ad Valorem Tax </t>
  </si>
  <si>
    <t>23. Added note to the non-budgeted fund pages to ensure the amounts agree.</t>
  </si>
  <si>
    <t>24. Added to instructions about non-appropriated balances being limited to 5%.</t>
  </si>
  <si>
    <t>25. Added warning "Exceeds 5%" on all fund pages for the non-appropirated balance.</t>
  </si>
  <si>
    <t>26. Added three additional spaces for Counties information on the input pages.</t>
  </si>
  <si>
    <t>27. Added line on instruction page for the three additional Counties information.</t>
  </si>
  <si>
    <t>28. Added Neighborhood Revitalization table and added links to all tax levy fund pages.</t>
  </si>
  <si>
    <t>29. Added to the instructions about neighborhood revitalization and made new line for transfers.</t>
  </si>
  <si>
    <t xml:space="preserve">30. Added Slider to the Vehicle Allocation table and linked to the fund pages. </t>
  </si>
  <si>
    <t>31. Added to all budgeted fund pages the budget authority for the actual year, budget violation, and cash violation.</t>
  </si>
  <si>
    <t>32. Added instruction on the addition for item 32.</t>
  </si>
  <si>
    <t>38. Expanded on the preparation of budget note 11 for instructions for the Notice of Budget Hearing.</t>
  </si>
  <si>
    <t>The following were changed to this spreadsheet on 5/08/2008</t>
  </si>
  <si>
    <t>1. Instruction page #9a change from 'shown be shown' to read 'should be shown'.</t>
  </si>
  <si>
    <t>2. Change Transfers tab footer from 'Page No. 5' to read 'Page No. 4'.</t>
  </si>
  <si>
    <r>
      <t>3. Change all Non-Budgeted Funds forms from 'Only the actual budget year shown' to '</t>
    </r>
    <r>
      <rPr>
        <i/>
        <sz val="12"/>
        <rFont val="Times New Roman"/>
        <family val="1"/>
      </rPr>
      <t>Only the actual budget year for YYYY is to be shown</t>
    </r>
    <r>
      <rPr>
        <sz val="12"/>
        <rFont val="Times New Roman"/>
        <family val="1"/>
      </rPr>
      <t>'.</t>
    </r>
  </si>
  <si>
    <t>4. Change Budget Summary from 'Proposed Budget Expenditures' to read 'Proposed Budget YYYY Expenditures'.</t>
  </si>
  <si>
    <t>5. Change Legend #38 from 'note 10' to 'note 11'.</t>
  </si>
  <si>
    <t>6. All pages revision date was changed.</t>
  </si>
  <si>
    <t>The following were changed to this spreadsheet on 6/30/08</t>
  </si>
  <si>
    <t>1. Changed the link on Non-BudD to have the correct fund names picked up from inputpryr.</t>
  </si>
  <si>
    <t>The following were changed to this spreadsheet on 7/11/08</t>
  </si>
  <si>
    <t>1. Changed the formula on the 'summ tab' cell c20 to c29 to correct duplication on cell c20 and renumber c21-c29.</t>
  </si>
  <si>
    <t>Debt Service</t>
  </si>
  <si>
    <t xml:space="preserve">           General Fund - Detail Expend</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</si>
  <si>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</si>
  <si>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</si>
  <si>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</si>
  <si>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</si>
  <si>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</si>
  <si>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</si>
  <si>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</si>
  <si>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</si>
  <si>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</si>
  <si>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</si>
  <si>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</si>
  <si>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</si>
  <si>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</si>
  <si>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</si>
  <si>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</si>
  <si>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</si>
  <si>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</si>
  <si>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</si>
  <si>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</si>
  <si>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</si>
  <si>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</si>
  <si>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</si>
  <si>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</si>
  <si>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</si>
  <si>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</si>
  <si>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</si>
  <si>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4. Changed foot note to reflect the changes maded on 7/1/08 to the above tabs.</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</si>
  <si>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</si>
  <si>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</si>
  <si>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7. Added four single page for no tax levy fund page.</t>
  </si>
  <si>
    <t>11. Added Neighborhood Revitalization, LAVTR, City and County Revenue Sharing, and Slider to the input page and to the General Fund page. Also each tax levy fund pages has the NR.</t>
  </si>
  <si>
    <t>33.  Added miscellanous category to both receipt and expenditure and set warning on fund pages.</t>
  </si>
  <si>
    <t>34. Added instruction concerning the miscellaneous category and how to fix warning.</t>
  </si>
  <si>
    <t xml:space="preserve">35. Added page number for neighborhood revit on the Certificate page. </t>
  </si>
  <si>
    <t>36. Added three spaces for additional counties on the inputpryr, clerk's info, and certificate page.</t>
  </si>
  <si>
    <t xml:space="preserve">General Instructions </t>
  </si>
  <si>
    <t>Fund Names:</t>
  </si>
  <si>
    <t>Statute</t>
  </si>
  <si>
    <t>General</t>
  </si>
  <si>
    <t>Fund name for all funds with a tax levy:</t>
  </si>
  <si>
    <t>Total</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</si>
  <si>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</si>
  <si>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</si>
  <si>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</si>
  <si>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</si>
  <si>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</si>
  <si>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</si>
  <si>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</si>
  <si>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</si>
  <si>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</si>
  <si>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</si>
  <si>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</si>
  <si>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</si>
  <si>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</si>
  <si>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</si>
  <si>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</si>
  <si>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</si>
  <si>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</si>
  <si>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</si>
  <si>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</si>
  <si>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</si>
  <si>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</si>
  <si>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</si>
  <si>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</si>
  <si>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</si>
  <si>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</si>
  <si>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</si>
  <si>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</si>
  <si>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</si>
  <si>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</si>
  <si>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</si>
  <si>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</si>
  <si>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</si>
  <si>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</si>
  <si>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</si>
  <si>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</si>
  <si>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</si>
  <si>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</si>
  <si>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</si>
  <si>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</si>
  <si>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</si>
  <si>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</si>
  <si>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</si>
  <si>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</si>
  <si>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</si>
  <si>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</si>
  <si>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</si>
  <si>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</si>
  <si>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</si>
  <si>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</si>
  <si>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</si>
  <si>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</si>
  <si>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</si>
  <si>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</si>
  <si>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</si>
  <si>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</si>
  <si>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</si>
  <si>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</si>
  <si>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</si>
  <si>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</si>
  <si>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</si>
  <si>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</si>
  <si>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</si>
  <si>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</si>
  <si>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</si>
  <si>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</si>
  <si>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</si>
  <si>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</si>
  <si>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</si>
  <si>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</si>
  <si>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</si>
  <si>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</si>
  <si>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</si>
  <si>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</si>
  <si>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</si>
  <si>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</si>
  <si>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</si>
  <si>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</si>
  <si>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</si>
  <si>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</si>
  <si>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</si>
  <si>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</si>
  <si>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</si>
  <si>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</si>
  <si>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</si>
  <si>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</si>
  <si>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</si>
  <si>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</si>
  <si>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</si>
  <si>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77 change from Budget Summary to Budget Certificate.</t>
  </si>
  <si>
    <t>1. Mvalloc tab, 'Budget Tax Levy Amount for -1' links for amounts from 'inputPrYr' were changed to reflect column 'D' to column 'E'.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</si>
  <si>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</si>
  <si>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</si>
  <si>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</si>
  <si>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</si>
  <si>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</si>
  <si>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</si>
  <si>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</si>
  <si>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</si>
  <si>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</si>
  <si>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</si>
  <si>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</si>
  <si>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</si>
  <si>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</si>
  <si>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</si>
  <si>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</si>
  <si>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</si>
  <si>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</si>
  <si>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</si>
  <si>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</si>
  <si>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</si>
  <si>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</si>
  <si>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</si>
  <si>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</si>
  <si>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</si>
  <si>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</si>
  <si>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</si>
  <si>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</si>
  <si>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</si>
  <si>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</si>
  <si>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</si>
  <si>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</si>
  <si>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</si>
  <si>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</si>
  <si>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</si>
  <si>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</si>
  <si>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</si>
  <si>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</si>
  <si>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</si>
  <si>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</si>
  <si>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</si>
  <si>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</si>
  <si>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</si>
  <si>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</si>
  <si>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</si>
  <si>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 xml:space="preserve">           General Fund - Detail Page 2</t>
  </si>
  <si>
    <t>Page 2 -Total</t>
  </si>
  <si>
    <t>Page 1 -Total</t>
  </si>
  <si>
    <t xml:space="preserve">Grand Total </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</si>
  <si>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</si>
  <si>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</si>
  <si>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</si>
  <si>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</si>
  <si>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</si>
  <si>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</si>
  <si>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</si>
  <si>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</si>
  <si>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Gen tab added eight additional detail lines and linked to the detail page</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</si>
  <si>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</si>
  <si>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</si>
  <si>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</si>
  <si>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</si>
  <si>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</si>
  <si>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</si>
  <si>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</si>
  <si>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</si>
  <si>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</si>
  <si>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</si>
  <si>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</si>
  <si>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</si>
  <si>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</si>
  <si>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</si>
  <si>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</si>
  <si>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</si>
  <si>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</si>
  <si>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</si>
  <si>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</si>
  <si>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</si>
  <si>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</si>
  <si>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</si>
  <si>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</si>
  <si>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</si>
  <si>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</si>
  <si>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</si>
  <si>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</si>
  <si>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</si>
  <si>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</si>
  <si>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</si>
  <si>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</si>
  <si>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</si>
  <si>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</si>
  <si>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</si>
  <si>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</si>
  <si>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</si>
  <si>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</si>
  <si>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</si>
  <si>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</si>
  <si>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</si>
  <si>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</si>
  <si>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</si>
  <si>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</si>
  <si>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</si>
  <si>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</si>
  <si>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</si>
  <si>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</si>
  <si>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</si>
  <si>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</si>
  <si>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</si>
  <si>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</si>
  <si>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</si>
  <si>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</si>
  <si>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</si>
  <si>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</si>
  <si>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</si>
  <si>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</si>
  <si>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</si>
  <si>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</si>
  <si>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</si>
  <si>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</si>
  <si>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</si>
  <si>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</si>
  <si>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</si>
  <si>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</si>
  <si>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</si>
  <si>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</si>
  <si>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</si>
  <si>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</si>
  <si>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</si>
  <si>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</si>
  <si>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</si>
  <si>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</si>
  <si>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</si>
  <si>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</si>
  <si>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</si>
  <si>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</si>
  <si>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</si>
  <si>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</si>
  <si>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</si>
  <si>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</si>
  <si>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</si>
  <si>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</si>
  <si>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</si>
  <si>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</si>
  <si>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</si>
  <si>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</si>
  <si>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</si>
  <si>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</si>
  <si>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</si>
  <si>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</si>
  <si>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</si>
  <si>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</si>
  <si>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</si>
  <si>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</si>
  <si>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</si>
  <si>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</si>
  <si>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</si>
  <si>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</si>
  <si>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</si>
  <si>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</si>
  <si>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</si>
  <si>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</si>
  <si>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</si>
  <si>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</si>
  <si>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</si>
  <si>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</si>
  <si>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</si>
  <si>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</si>
  <si>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</si>
  <si>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</si>
  <si>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</si>
  <si>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</si>
  <si>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</si>
  <si>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</si>
  <si>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</si>
  <si>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</si>
  <si>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</si>
  <si>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</si>
  <si>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</si>
  <si>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</si>
  <si>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</si>
  <si>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</si>
  <si>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</si>
  <si>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</si>
  <si>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</si>
  <si>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</si>
  <si>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</si>
  <si>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</si>
  <si>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</si>
  <si>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</si>
  <si>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</si>
  <si>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</si>
  <si>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</si>
  <si>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</si>
  <si>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</si>
  <si>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</si>
  <si>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</si>
  <si>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</si>
  <si>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</si>
  <si>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</si>
  <si>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</si>
  <si>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</si>
  <si>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</si>
  <si>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</si>
  <si>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</si>
  <si>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</si>
  <si>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</si>
  <si>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</si>
  <si>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</si>
  <si>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</si>
  <si>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</si>
  <si>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</si>
  <si>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</si>
  <si>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</si>
  <si>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</si>
  <si>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</si>
  <si>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</si>
  <si>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</si>
  <si>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</si>
  <si>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</si>
  <si>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</si>
  <si>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</si>
  <si>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</si>
  <si>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</si>
  <si>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</si>
  <si>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</si>
  <si>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</si>
  <si>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</si>
  <si>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</si>
  <si>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</si>
  <si>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</si>
  <si>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</si>
  <si>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</si>
  <si>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</si>
  <si>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</si>
  <si>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</si>
  <si>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</si>
  <si>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</si>
  <si>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</si>
  <si>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</si>
  <si>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</si>
  <si>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</si>
  <si>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</si>
  <si>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</si>
  <si>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</si>
  <si>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</si>
  <si>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</si>
  <si>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</si>
  <si>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</si>
  <si>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</si>
  <si>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</si>
  <si>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</si>
  <si>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</si>
  <si>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</si>
  <si>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</si>
  <si>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</si>
  <si>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</si>
  <si>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</si>
  <si>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</si>
  <si>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</si>
  <si>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</si>
  <si>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</si>
  <si>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</si>
  <si>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</si>
  <si>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</si>
  <si>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</si>
  <si>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</si>
  <si>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</si>
  <si>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</si>
  <si>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</si>
  <si>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</si>
  <si>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</si>
  <si>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</si>
  <si>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</si>
  <si>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</si>
  <si>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</si>
  <si>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</si>
  <si>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</si>
  <si>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</si>
  <si>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</si>
  <si>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</si>
  <si>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</si>
  <si>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</si>
  <si>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</si>
  <si>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</si>
  <si>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</si>
  <si>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</si>
  <si>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</si>
  <si>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</si>
  <si>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</si>
  <si>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</si>
  <si>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</si>
  <si>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r>
      <t>Adjustments</t>
    </r>
    <r>
      <rPr>
        <b/>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</si>
  <si>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</si>
  <si>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</si>
  <si>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</si>
  <si>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</si>
  <si>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</si>
  <si>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</si>
  <si>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</si>
  <si>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</si>
  <si>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</si>
  <si>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</si>
  <si>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1. Computation Tab - Item #9 Total Estimated Valuation July 1, -1 changed cell E28 ref from D48 to B13</t>
  </si>
  <si>
    <t>2. GenDetail Tab - changed print area to print both 7b and 7c pages versus 7b only</t>
  </si>
  <si>
    <t>Official Title:</t>
  </si>
  <si>
    <t>City Clerk, City Treasurer, Mayor</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</si>
  <si>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</si>
  <si>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</si>
  <si>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</si>
  <si>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</si>
  <si>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</si>
  <si>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</si>
  <si>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</si>
  <si>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</si>
  <si>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</si>
  <si>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</si>
  <si>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</si>
  <si>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Local Sales Tax</t>
  </si>
  <si>
    <t>Non-Appropriated Balance</t>
  </si>
  <si>
    <t>Total Expenditure/Non-Appr Balance</t>
  </si>
  <si>
    <t>Delinquent Comp Rate:</t>
  </si>
  <si>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</si>
  <si>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</si>
  <si>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</si>
  <si>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</si>
  <si>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</si>
  <si>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</si>
  <si>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</si>
  <si>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</si>
  <si>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</si>
  <si>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</si>
  <si>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</si>
  <si>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</si>
  <si>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</si>
  <si>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</si>
  <si>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</si>
  <si>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</si>
  <si>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</si>
  <si>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</si>
  <si>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</si>
  <si>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</si>
  <si>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</si>
  <si>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</si>
  <si>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</si>
  <si>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</si>
  <si>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</si>
  <si>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</si>
  <si>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</si>
  <si>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</si>
  <si>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</si>
  <si>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</si>
  <si>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</si>
  <si>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</si>
  <si>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</si>
  <si>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</si>
  <si>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</si>
  <si>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</si>
  <si>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</si>
  <si>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</si>
  <si>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</si>
  <si>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</si>
  <si>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</si>
  <si>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</si>
  <si>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</si>
  <si>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</si>
  <si>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</si>
  <si>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</si>
  <si>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</si>
  <si>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</si>
  <si>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</si>
  <si>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</si>
  <si>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</si>
  <si>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</si>
  <si>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</si>
  <si>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</si>
  <si>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</si>
  <si>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</si>
  <si>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</si>
  <si>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</si>
  <si>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</si>
  <si>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</si>
  <si>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</si>
  <si>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</si>
  <si>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</si>
  <si>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</si>
  <si>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</si>
  <si>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</si>
  <si>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</si>
  <si>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</si>
  <si>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</si>
  <si>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</si>
  <si>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</si>
  <si>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</si>
  <si>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</si>
  <si>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</si>
  <si>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</si>
  <si>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</si>
  <si>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</si>
  <si>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</si>
  <si>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</si>
  <si>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</si>
  <si>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</si>
  <si>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 (the year for the actual year column of the current budget).  After the information has been entered, please verify the data is correct. </t>
  </si>
  <si>
    <t>4c. The Certificate page allows for up to four counties assessed valuation.</t>
  </si>
  <si>
    <t>1. All pages removed the revision date</t>
  </si>
  <si>
    <t>2. All tax levy fund pages reduced the columns and revised the bottom of pages for see tabs</t>
  </si>
  <si>
    <t>3. Instruction tab added lines 4d (cert-rec), 11b (fund-rec), 14(project carryover), 14a (Desired Carryover), and 15 (protection)</t>
  </si>
  <si>
    <t xml:space="preserve">Totals </t>
  </si>
  <si>
    <t>4. Inputpryr tab added lines 25 and 26 for 'Other Fund Not Considered' and Recreation fund</t>
  </si>
  <si>
    <t>5. Certificate tab change the 'Expenditure' heading by adding  'Budget Authority for Expenditures'</t>
  </si>
  <si>
    <t>6. Certificate tab change 'Total' to 'Totals for City' and added another line for 'Totals Includes Recreation'</t>
  </si>
  <si>
    <t>7. Certificate tab added line for 'Recreation', statute, expenditure, ad valorem, and levy</t>
  </si>
  <si>
    <t>8. Certificate tab created check to determine if levy for recreation is exceeded</t>
  </si>
  <si>
    <t xml:space="preserve">9. Certificate tab added additional lines for the governing body signatures </t>
  </si>
  <si>
    <t>10. Certificate tab add the year in the block for 'County Clerk Use Only'</t>
  </si>
  <si>
    <t>11. Certificate tab moved the 'County Clerk's Use Only' from center to right</t>
  </si>
  <si>
    <t>12. Debt tab expand the 'Date' columns and removed two lines from the 'Other Section'</t>
  </si>
  <si>
    <t>13. Gen tab added revenue line for 'Compensation Use'</t>
  </si>
  <si>
    <t>14. Gen tab added table for 'Projection of Cash Carryover'</t>
  </si>
  <si>
    <t>15. Gen tab added table for 'Desired Carryover'</t>
  </si>
  <si>
    <t>16. Gen tab redefine print que to not include tables</t>
  </si>
  <si>
    <t>17. Gen tab hid the comp for see tabs</t>
  </si>
  <si>
    <t>18. DebtService tab reduced the Debt Service fund page and added the Recreation fund</t>
  </si>
  <si>
    <t>19. DebtService tab added table for 'Projected Carryover'</t>
  </si>
  <si>
    <t>20. DebtService tab redefine print que and hid comp for see tabs</t>
  </si>
  <si>
    <t>21. Levy page9 to page13 tab hid comp for see tabs</t>
  </si>
  <si>
    <t>22. Summ tab added line after total for Recreation fund and put a check to determine if levy was exceeded</t>
  </si>
  <si>
    <t>23. Summ tab merged cells above the 'City Official Title' and center a name if used</t>
  </si>
  <si>
    <t>24. Summ tab link the City Official Title to inputBudSum tab</t>
  </si>
  <si>
    <t>25. Summ tab changed proposed year expenditure column to 'Budget Authority (Includes Carryover)</t>
  </si>
  <si>
    <t>26. Summ tab added four tables to the right of the form</t>
  </si>
  <si>
    <t>27. InputBudSum tab added line for City Official Title and provided an example</t>
  </si>
  <si>
    <t>28. Revised TransferStatutes and NonBudFunds tabs</t>
  </si>
  <si>
    <t>29. Added Mill Rate Computation tab</t>
  </si>
  <si>
    <t>30. Summ tab redefine print que</t>
  </si>
  <si>
    <t>31. Add Helpful Links tab</t>
  </si>
  <si>
    <t>32. Certificate page deleted state block</t>
  </si>
  <si>
    <t>33. Added four more no tax levy fund pages</t>
  </si>
  <si>
    <t>34.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</si>
  <si>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</si>
  <si>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</si>
  <si>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</si>
  <si>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</si>
  <si>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</si>
  <si>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</si>
  <si>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</si>
  <si>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</si>
  <si>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</si>
  <si>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Debt Service tab corrected cell G34 from E21 to E20</t>
  </si>
  <si>
    <t>1. Summ tab changed proposed year expenditure column to 'Budget Authority for Expenditures'</t>
  </si>
  <si>
    <t xml:space="preserve">Prior Year </t>
  </si>
  <si>
    <t>Current Year</t>
  </si>
  <si>
    <t xml:space="preserve">Proposed Budget </t>
  </si>
  <si>
    <t xml:space="preserve">Current Year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</si>
  <si>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</si>
  <si>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</si>
  <si>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</si>
  <si>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</si>
  <si>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</si>
  <si>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</si>
  <si>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</si>
  <si>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</si>
  <si>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</si>
  <si>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</si>
  <si>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</si>
  <si>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</si>
  <si>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</si>
  <si>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</si>
  <si>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</si>
  <si>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</si>
  <si>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</si>
  <si>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</si>
  <si>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</si>
  <si>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</si>
  <si>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</si>
  <si>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</si>
  <si>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</si>
  <si>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</si>
  <si>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</si>
  <si>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</si>
  <si>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</si>
  <si>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</si>
  <si>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</si>
  <si>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</si>
  <si>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</si>
  <si>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</si>
  <si>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</si>
  <si>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</si>
  <si>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</si>
  <si>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</si>
  <si>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</si>
  <si>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</si>
  <si>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</si>
  <si>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</si>
  <si>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</si>
  <si>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</si>
  <si>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</si>
  <si>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</si>
  <si>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</si>
  <si>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</si>
  <si>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</si>
  <si>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</si>
  <si>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</si>
  <si>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</si>
  <si>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</si>
  <si>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Items</t>
  </si>
  <si>
    <t xml:space="preserve"> Purchased</t>
  </si>
  <si>
    <t xml:space="preserve">Type of </t>
  </si>
  <si>
    <t xml:space="preserve"> Debt</t>
  </si>
  <si>
    <t>12-1220</t>
  </si>
  <si>
    <t>Library</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</si>
  <si>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</si>
  <si>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</si>
  <si>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</si>
  <si>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</si>
  <si>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</si>
  <si>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</si>
  <si>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</si>
  <si>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</si>
  <si>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</si>
  <si>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</si>
  <si>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</si>
  <si>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</si>
  <si>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</si>
  <si>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</si>
  <si>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</si>
  <si>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</si>
  <si>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</si>
  <si>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</si>
  <si>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</si>
  <si>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</si>
  <si>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</si>
  <si>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</si>
  <si>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Email:</t>
  </si>
  <si>
    <t>_____________________  ______________________</t>
  </si>
  <si>
    <t>Expenditures Must Be Changed by:</t>
  </si>
  <si>
    <t>Mill Rate Comparison</t>
  </si>
  <si>
    <t xml:space="preserve">Amounts used in lieu of </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</si>
  <si>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</si>
  <si>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</si>
  <si>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</si>
  <si>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</si>
  <si>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</si>
  <si>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</si>
  <si>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</si>
  <si>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</si>
  <si>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</si>
  <si>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</si>
  <si>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</si>
  <si>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</si>
  <si>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</si>
  <si>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</si>
  <si>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</si>
  <si>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</si>
  <si>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</si>
  <si>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</si>
  <si>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</si>
  <si>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</si>
  <si>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</si>
  <si>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</si>
  <si>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</si>
  <si>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</si>
  <si>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</si>
  <si>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</si>
  <si>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</si>
  <si>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</si>
  <si>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</si>
  <si>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</si>
  <si>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</si>
  <si>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</si>
  <si>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</si>
  <si>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</si>
  <si>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</si>
  <si>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was designed for a City having up to four counties providing budget information. The City4 spreadsheets has General Fund page (general), Debt Service and Library fund (DebtSvs-Library), 10 tax levy pages (levy page9 to levy page13), Special Highway page (Sp Hiway), 15 no levy fund pages (nolevypage15 to nolevypage21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</si>
  <si>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</si>
  <si>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</si>
  <si>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</si>
  <si>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</si>
  <si>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(DebtSvs-Library), ten levy pages (levy page8 and levy page13), Special Highway Fund (SpecHwy), fifteen no levy fund pages (no levy page15 to no levy page21, and one fund below on Special Highway), four single no levy fund page (SinNoLevy18 to 21), and four non-budgeted fund pages (NonBudA thru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</si>
  <si>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</si>
  <si>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</si>
  <si>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</si>
  <si>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</si>
  <si>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</si>
  <si>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</si>
  <si>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</si>
  <si>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</si>
  <si>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</si>
  <si>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</si>
  <si>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</si>
  <si>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</si>
  <si>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</si>
  <si>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</si>
  <si>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</si>
  <si>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</si>
  <si>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</si>
  <si>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</si>
  <si>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</si>
  <si>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</si>
  <si>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</si>
  <si>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</si>
  <si>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</si>
  <si>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</si>
  <si>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</si>
  <si>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</si>
  <si>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</si>
  <si>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</si>
  <si>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</si>
  <si>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Allocation of MVT, RVT, 16/20M Vehicle Tax</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</si>
  <si>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</si>
  <si>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</si>
  <si>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</si>
  <si>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</si>
  <si>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</si>
  <si>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</si>
  <si>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</si>
  <si>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</si>
  <si>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</si>
  <si>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</si>
  <si>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</si>
  <si>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</si>
  <si>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</si>
  <si>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</si>
  <si>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</si>
  <si>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</si>
  <si>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</si>
  <si>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</si>
  <si>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</si>
  <si>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</si>
  <si>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</si>
  <si>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</si>
  <si>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</si>
  <si>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</si>
  <si>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</si>
  <si>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</si>
  <si>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</si>
  <si>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</si>
  <si>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</si>
  <si>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</si>
  <si>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</si>
  <si>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</si>
  <si>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</si>
  <si>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</si>
  <si>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</si>
  <si>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5/12/14</t>
  </si>
  <si>
    <t>The following changes were made to this workbook on 4/8/14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</si>
  <si>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</si>
  <si>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</si>
  <si>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</si>
  <si>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</si>
  <si>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</si>
  <si>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</si>
  <si>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</si>
  <si>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</si>
  <si>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3/21/11</t>
  </si>
  <si>
    <t>The following changes were made to this workbook on 9/7/10</t>
  </si>
  <si>
    <t>The following changes were made to this workbook on 6/29/10</t>
  </si>
  <si>
    <t>The following changes were made to this workbook on 1/05/10</t>
  </si>
  <si>
    <t>The following changes were made to this workbook on 12/28/09</t>
  </si>
  <si>
    <t>The following changes were made to this workbook on 12/08/09</t>
  </si>
  <si>
    <t>The following changes were made to this workbook on 10/6/09</t>
  </si>
  <si>
    <t>The following changes were made to this workbook on 6/16/09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</si>
  <si>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</si>
  <si>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</si>
  <si>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</si>
  <si>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</si>
  <si>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8/15/14</t>
  </si>
  <si>
    <t>City4 Budget Workbook Instructions</t>
  </si>
  <si>
    <t>Input Sheet for City4 Budget Workbook</t>
  </si>
  <si>
    <t>Enter city name ("City of _____"):</t>
  </si>
  <si>
    <t>Enter home county name followed by "County":</t>
  </si>
  <si>
    <t>Enter names of other counties:</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</si>
  <si>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</si>
  <si>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</si>
  <si>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</si>
  <si>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</si>
  <si>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  Real Estate</t>
  </si>
  <si>
    <t>SUPPORTING COUNTIES</t>
  </si>
  <si>
    <t>How to Compute the Value of One Mill, and the Impact of Tax Dollars and Assessed Valuation on Mill Rates</t>
  </si>
  <si>
    <t>The following changes were made to this workbook on 9/5/2014</t>
  </si>
  <si>
    <t>1.  Added "Supporting Counties" section to the notice of budget hearing on the summ tab.</t>
  </si>
  <si>
    <t>Commercial Vehicle</t>
  </si>
  <si>
    <t>Watercraft</t>
  </si>
  <si>
    <t>Comm Veh</t>
  </si>
  <si>
    <t xml:space="preserve">Allocation of MV, RV, 16/20M, Commercial Vehicle, and Watercraft Tax Estimates </t>
  </si>
  <si>
    <t xml:space="preserve">Ad Valorem Levy </t>
  </si>
  <si>
    <t>Commercial Vehicle Factor</t>
  </si>
  <si>
    <t>Watercraft Factor</t>
  </si>
  <si>
    <t>County Treas Recreational Vehicle Estimate</t>
  </si>
  <si>
    <t>County Treas 16/20M Vehicle Estimate</t>
  </si>
  <si>
    <t>County Treas Commercial Vehicle Tax Estimate</t>
  </si>
  <si>
    <t>County Treas Watercraft Tax Estimate</t>
  </si>
  <si>
    <t>Commercial Vehicle Tax</t>
  </si>
  <si>
    <t>Watercraft Tax</t>
  </si>
  <si>
    <t>1.  Various workbook changes associated with commercial vehicle and watercraft tax estimates.</t>
  </si>
  <si>
    <t>The following changes were made to this workbook on 9/24/14</t>
  </si>
  <si>
    <t>The following changes were made to this workbook on 1/21/15</t>
  </si>
  <si>
    <t>1.  Inserted 2014 CPI percentage on computation tab.</t>
  </si>
  <si>
    <t>2.  Corrected formula in cell d24 of library grant tab.</t>
  </si>
  <si>
    <t>The following changes were made to this workbook on 7/29/15</t>
  </si>
  <si>
    <t>1.  Corrected links in cells g16, g17, g18, and g19 of library grant tab.</t>
  </si>
  <si>
    <t>The following changes were made to this workbook on 9/8/2015</t>
  </si>
  <si>
    <t>Resolution required?  Notice of the vote to adopt required to be published?</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</si>
  <si>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</si>
  <si>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</si>
  <si>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</si>
  <si>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</si>
  <si>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</si>
  <si>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</si>
  <si>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</si>
  <si>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</si>
  <si>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</si>
  <si>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1.  Inserted 2015 CPI percentage on computation tab.</t>
  </si>
  <si>
    <t>The following changes were made to this workbook on 2/2/2016</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</si>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</sst>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409]dddd\,\ mmmm\ dd\,\ yyyy"/>
    <numFmt numFmtId="192" formatCode="\1\1\-\1\2\2\2"/>
    <numFmt numFmtId="193" formatCode="m/d/yy;@"/>
    <numFmt numFmtId="194" formatCode="&quot;$&quot;#,##0"/>
    <numFmt numFmtId="195" formatCode="&quot;$&quot;#,##0.00"/>
    <numFmt numFmtId="196" formatCode="#,##0.0"/>
    <numFmt numFmtId="197" formatCode="#,###"/>
    <numFmt numFmtId="198" formatCode="#,##0.000_);[Red]\(#,##0.000\)"/>
    <numFmt numFmtId="199" formatCode="0.0%"/>
  </numFmts>
  <fonts count="10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9"/>
      <name val="Courier"/>
      <family val="3"/>
    </font>
    <font>
      <sz val="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b/>
      <u val="single"/>
      <sz val="8"/>
      <name val="Times New Roman"/>
      <family val="1"/>
    </font>
    <font>
      <u val="single"/>
      <sz val="12"/>
      <color indexed="10"/>
      <name val="Times New Roman"/>
      <family val="1"/>
    </font>
    <font>
      <sz val="8"/>
      <color indexed="10"/>
      <name val="Times New Roman"/>
      <family val="1"/>
    </font>
    <font>
      <sz val="10"/>
      <name val="Courier"/>
      <family val="3"/>
    </font>
    <font>
      <sz val="10"/>
      <color indexed="10"/>
      <name val="Times New Roman"/>
      <family val="1"/>
    </font>
    <font>
      <u val="single"/>
      <sz val="12"/>
      <color indexed="12"/>
      <name val="Courier New"/>
      <family val="3"/>
    </font>
    <font>
      <b/>
      <sz val="11"/>
      <name val="Calibri"/>
      <family val="2"/>
    </font>
    <font>
      <sz val="12"/>
      <name val="Arial"/>
      <family val="2"/>
    </font>
    <font>
      <sz val="10"/>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1"/>
      <color rgb="FF000000"/>
      <name val="Cambria"/>
      <family val="1"/>
    </font>
    <font>
      <b/>
      <sz val="11"/>
      <color theme="1"/>
      <name val="Cambria"/>
      <family val="1"/>
    </font>
    <font>
      <sz val="10"/>
      <color rgb="FFFF0000"/>
      <name val="Times New Roman"/>
      <family val="1"/>
    </font>
    <font>
      <b/>
      <sz val="12"/>
      <color rgb="FFFF0000"/>
      <name val="Times New Roman"/>
      <family val="1"/>
    </font>
    <font>
      <b/>
      <sz val="12"/>
      <color rgb="FF00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u val="single"/>
      <sz val="11"/>
      <color theme="1"/>
      <name val="Calibri"/>
      <family val="2"/>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double">
        <color indexed="63"/>
      </bottom>
    </border>
    <border>
      <left style="thin"/>
      <right style="thin"/>
      <top style="thin"/>
      <bottom style="medium"/>
    </border>
    <border>
      <left style="medium"/>
      <right/>
      <top/>
      <bottom style="medium"/>
    </border>
    <border>
      <left style="medium"/>
      <right/>
      <top style="medium"/>
      <bottom/>
    </border>
    <border>
      <left style="medium"/>
      <right/>
      <top/>
      <bottom/>
    </border>
    <border>
      <left style="medium"/>
      <right/>
      <top/>
      <bottom style="thin"/>
    </border>
    <border>
      <left style="medium"/>
      <right/>
      <top style="thin"/>
      <bottom/>
    </border>
    <border>
      <left/>
      <right style="medium"/>
      <top style="thin"/>
      <bottom/>
    </border>
    <border>
      <left>
        <color indexed="63"/>
      </left>
      <right>
        <color indexed="63"/>
      </right>
      <top>
        <color indexed="63"/>
      </top>
      <bottom style="medium"/>
    </border>
    <border>
      <left/>
      <right/>
      <top style="medium"/>
      <bottom/>
    </border>
    <border>
      <left/>
      <right style="medium"/>
      <top style="medium"/>
      <bottom/>
    </border>
    <border>
      <left/>
      <right style="medium"/>
      <top/>
      <bottom/>
    </border>
    <border>
      <left style="thin"/>
      <right>
        <color indexed="63"/>
      </right>
      <top>
        <color indexed="63"/>
      </top>
      <bottom>
        <color indexed="63"/>
      </bottom>
    </border>
    <border>
      <left/>
      <right style="medium"/>
      <top/>
      <bottom style="medium"/>
    </border>
    <border>
      <left style="thin"/>
      <right style="thin"/>
      <top style="medium"/>
      <bottom style="thin"/>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medium"/>
      <bottom style="double"/>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2"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070">
    <xf numFmtId="0" fontId="0" fillId="0" borderId="0" xfId="0"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7" fontId="5" fillId="0" borderId="0" xfId="0" applyNumberFormat="1" applyFont="1" applyAlignment="1" applyProtection="1">
      <alignment/>
      <protection locked="0"/>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37" fontId="5" fillId="34" borderId="0" xfId="0" applyNumberFormat="1" applyFont="1" applyFill="1" applyAlignment="1" applyProtection="1">
      <alignment horizontal="left"/>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577"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Continuous"/>
      <protection/>
    </xf>
    <xf numFmtId="0" fontId="5" fillId="34" borderId="14" xfId="0" applyFont="1" applyFill="1" applyBorder="1" applyAlignment="1" applyProtection="1">
      <alignment horizontal="centerContinuous"/>
      <protection/>
    </xf>
    <xf numFmtId="0" fontId="5" fillId="34" borderId="15"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2" fontId="5" fillId="34" borderId="10" xfId="0" applyNumberFormat="1" applyFont="1" applyFill="1" applyBorder="1" applyAlignment="1" applyProtection="1">
      <alignment/>
      <protection/>
    </xf>
    <xf numFmtId="3" fontId="5" fillId="34" borderId="10" xfId="0" applyNumberFormat="1" applyFont="1" applyFill="1" applyBorder="1" applyAlignment="1" applyProtection="1">
      <alignment/>
      <protection/>
    </xf>
    <xf numFmtId="0" fontId="4" fillId="34" borderId="10" xfId="0" applyFont="1" applyFill="1" applyBorder="1" applyAlignment="1" applyProtection="1">
      <alignment horizontal="left"/>
      <protection/>
    </xf>
    <xf numFmtId="0" fontId="5" fillId="34" borderId="17" xfId="0" applyFont="1" applyFill="1" applyBorder="1" applyAlignment="1" applyProtection="1">
      <alignment horizontal="fill"/>
      <protection/>
    </xf>
    <xf numFmtId="0" fontId="4" fillId="34" borderId="0" xfId="0" applyFont="1" applyFill="1" applyAlignment="1" applyProtection="1">
      <alignment/>
      <protection/>
    </xf>
    <xf numFmtId="1" fontId="5" fillId="34" borderId="0" xfId="0" applyNumberFormat="1" applyFont="1" applyFill="1" applyBorder="1" applyAlignment="1" applyProtection="1">
      <alignment horizontal="right"/>
      <protection/>
    </xf>
    <xf numFmtId="37" fontId="4" fillId="34" borderId="11" xfId="0" applyNumberFormat="1" applyFont="1" applyFill="1" applyBorder="1" applyAlignment="1" applyProtection="1">
      <alignment horizontal="left"/>
      <protection/>
    </xf>
    <xf numFmtId="0" fontId="0" fillId="34" borderId="0" xfId="0" applyFill="1" applyAlignment="1">
      <alignment/>
    </xf>
    <xf numFmtId="166" fontId="5" fillId="34" borderId="17" xfId="0" applyNumberFormat="1" applyFont="1" applyFill="1" applyBorder="1" applyAlignment="1" applyProtection="1">
      <alignment/>
      <protection/>
    </xf>
    <xf numFmtId="37" fontId="5" fillId="34" borderId="17" xfId="0" applyNumberFormat="1" applyFont="1" applyFill="1" applyBorder="1" applyAlignment="1" applyProtection="1" quotePrefix="1">
      <alignment horizontal="right"/>
      <protection/>
    </xf>
    <xf numFmtId="1" fontId="5" fillId="34" borderId="18" xfId="0" applyNumberFormat="1" applyFont="1" applyFill="1" applyBorder="1" applyAlignment="1" applyProtection="1">
      <alignment horizontal="center"/>
      <protection/>
    </xf>
    <xf numFmtId="0" fontId="5" fillId="0" borderId="0" xfId="0" applyFont="1" applyAlignment="1" applyProtection="1">
      <alignment horizontal="left"/>
      <protection locked="0"/>
    </xf>
    <xf numFmtId="0" fontId="4" fillId="34" borderId="10" xfId="0"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37" fontId="5" fillId="33" borderId="10" xfId="0" applyNumberFormat="1" applyFont="1" applyFill="1" applyBorder="1" applyAlignment="1" applyProtection="1">
      <alignment horizontal="center"/>
      <protection locked="0"/>
    </xf>
    <xf numFmtId="175" fontId="5" fillId="33" borderId="10" xfId="0" applyNumberFormat="1" applyFont="1" applyFill="1" applyBorder="1" applyAlignment="1" applyProtection="1">
      <alignment horizontal="center"/>
      <protection locked="0"/>
    </xf>
    <xf numFmtId="174" fontId="4" fillId="34" borderId="10"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175" fontId="4" fillId="34" borderId="10" xfId="0" applyNumberFormat="1" applyFont="1" applyFill="1" applyBorder="1" applyAlignment="1" applyProtection="1">
      <alignment horizontal="center"/>
      <protection/>
    </xf>
    <xf numFmtId="174" fontId="5" fillId="34" borderId="10" xfId="0" applyNumberFormat="1" applyFont="1" applyFill="1" applyBorder="1" applyAlignment="1" applyProtection="1">
      <alignment horizontal="center"/>
      <protection/>
    </xf>
    <xf numFmtId="2" fontId="5" fillId="34" borderId="10" xfId="0" applyNumberFormat="1" applyFont="1" applyFill="1" applyBorder="1" applyAlignment="1" applyProtection="1">
      <alignment horizontal="center"/>
      <protection/>
    </xf>
    <xf numFmtId="175" fontId="5" fillId="34" borderId="10" xfId="0" applyNumberFormat="1" applyFont="1" applyFill="1" applyBorder="1" applyAlignment="1" applyProtection="1">
      <alignment horizontal="center"/>
      <protection/>
    </xf>
    <xf numFmtId="1" fontId="4" fillId="34" borderId="10" xfId="0" applyNumberFormat="1" applyFont="1" applyFill="1" applyBorder="1" applyAlignment="1" applyProtection="1">
      <alignment horizontal="center"/>
      <protection/>
    </xf>
    <xf numFmtId="1" fontId="5" fillId="34" borderId="10" xfId="0" applyNumberFormat="1" applyFont="1" applyFill="1" applyBorder="1" applyAlignment="1" applyProtection="1">
      <alignment horizontal="center"/>
      <protection/>
    </xf>
    <xf numFmtId="3" fontId="5" fillId="35" borderId="10" xfId="0" applyNumberFormat="1" applyFont="1" applyFill="1" applyBorder="1" applyAlignment="1" applyProtection="1">
      <alignment/>
      <protection/>
    </xf>
    <xf numFmtId="3" fontId="4" fillId="35" borderId="10" xfId="0" applyNumberFormat="1" applyFont="1" applyFill="1" applyBorder="1" applyAlignment="1" applyProtection="1">
      <alignment/>
      <protection/>
    </xf>
    <xf numFmtId="37" fontId="4" fillId="35" borderId="10" xfId="0" applyNumberFormat="1" applyFont="1" applyFill="1" applyBorder="1" applyAlignment="1" applyProtection="1">
      <alignment horizontal="center"/>
      <protection/>
    </xf>
    <xf numFmtId="3" fontId="4" fillId="35" borderId="10" xfId="0" applyNumberFormat="1" applyFont="1" applyFill="1" applyBorder="1" applyAlignment="1" applyProtection="1">
      <alignment horizontal="center"/>
      <protection/>
    </xf>
    <xf numFmtId="0" fontId="5" fillId="33" borderId="11" xfId="0" applyFont="1" applyFill="1" applyBorder="1" applyAlignment="1" applyProtection="1">
      <alignment/>
      <protection locked="0"/>
    </xf>
    <xf numFmtId="0" fontId="5" fillId="33" borderId="11" xfId="0" applyFont="1" applyFill="1" applyBorder="1" applyAlignment="1" applyProtection="1">
      <alignment/>
      <protection locked="0"/>
    </xf>
    <xf numFmtId="37" fontId="5" fillId="33" borderId="11" xfId="0" applyNumberFormat="1" applyFont="1" applyFill="1" applyBorder="1" applyAlignment="1" applyProtection="1">
      <alignment horizontal="left"/>
      <protection locked="0"/>
    </xf>
    <xf numFmtId="37" fontId="5" fillId="34" borderId="18" xfId="0" applyNumberFormat="1" applyFont="1" applyFill="1" applyBorder="1" applyAlignment="1" applyProtection="1">
      <alignment horizontal="left"/>
      <protection/>
    </xf>
    <xf numFmtId="3" fontId="5" fillId="33" borderId="19" xfId="0" applyNumberFormat="1" applyFont="1" applyFill="1" applyBorder="1" applyAlignment="1" applyProtection="1">
      <alignment/>
      <protection locked="0"/>
    </xf>
    <xf numFmtId="0" fontId="5" fillId="34" borderId="11" xfId="0" applyFont="1" applyFill="1" applyBorder="1" applyAlignment="1" applyProtection="1">
      <alignment/>
      <protection/>
    </xf>
    <xf numFmtId="3" fontId="17" fillId="36" borderId="13" xfId="0" applyNumberFormat="1" applyFont="1" applyFill="1" applyBorder="1" applyAlignment="1" applyProtection="1">
      <alignment horizontal="center"/>
      <protection/>
    </xf>
    <xf numFmtId="0" fontId="6" fillId="0" borderId="0" xfId="0" applyFont="1" applyAlignment="1">
      <alignment/>
    </xf>
    <xf numFmtId="0" fontId="5" fillId="34" borderId="12" xfId="0" applyFont="1" applyFill="1" applyBorder="1" applyAlignment="1" applyProtection="1">
      <alignment horizontal="center" shrinkToFit="1"/>
      <protection/>
    </xf>
    <xf numFmtId="0" fontId="5" fillId="34" borderId="15" xfId="0" applyFont="1" applyFill="1" applyBorder="1" applyAlignment="1" applyProtection="1">
      <alignment horizontal="center" shrinkToFit="1"/>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8"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14" fillId="34" borderId="0" xfId="0" applyNumberFormat="1" applyFont="1" applyFill="1" applyAlignment="1" applyProtection="1">
      <alignment horizontal="left" vertical="center"/>
      <protection/>
    </xf>
    <xf numFmtId="0" fontId="0" fillId="34" borderId="0" xfId="0" applyFill="1" applyAlignment="1">
      <alignment horizontal="left" vertical="center"/>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14" fillId="34" borderId="0" xfId="0" applyFont="1" applyFill="1" applyAlignment="1" applyProtection="1">
      <alignment vertical="center"/>
      <protection/>
    </xf>
    <xf numFmtId="37" fontId="5" fillId="34" borderId="0" xfId="0" applyNumberFormat="1" applyFont="1" applyFill="1" applyBorder="1" applyAlignment="1" applyProtection="1">
      <alignment horizontal="left" vertical="center"/>
      <protection locked="0"/>
    </xf>
    <xf numFmtId="37" fontId="5" fillId="34" borderId="0" xfId="0" applyNumberFormat="1" applyFont="1" applyFill="1" applyAlignment="1" applyProtection="1">
      <alignment horizontal="left" vertical="center"/>
      <protection/>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4" borderId="17" xfId="0" applyFont="1" applyFill="1" applyBorder="1" applyAlignment="1" applyProtection="1">
      <alignment vertical="center"/>
      <protection/>
    </xf>
    <xf numFmtId="0" fontId="5" fillId="37" borderId="12" xfId="0" applyNumberFormat="1" applyFont="1" applyFill="1" applyBorder="1" applyAlignment="1" applyProtection="1">
      <alignment horizontal="center" vertical="center"/>
      <protection/>
    </xf>
    <xf numFmtId="0" fontId="5" fillId="37" borderId="13"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7"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7" xfId="0" applyNumberFormat="1" applyFont="1" applyFill="1" applyBorder="1" applyAlignment="1" applyProtection="1">
      <alignment horizontal="left" vertical="center"/>
      <protection/>
    </xf>
    <xf numFmtId="37" fontId="5" fillId="34" borderId="20" xfId="0" applyNumberFormat="1"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3" fontId="5" fillId="35" borderId="10" xfId="0" applyNumberFormat="1" applyFont="1" applyFill="1" applyBorder="1" applyAlignment="1" applyProtection="1">
      <alignment vertical="center"/>
      <protection/>
    </xf>
    <xf numFmtId="164" fontId="5" fillId="34" borderId="0"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vertical="center"/>
      <protection/>
    </xf>
    <xf numFmtId="0" fontId="5" fillId="34" borderId="21" xfId="0"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4" borderId="19" xfId="0" applyFont="1" applyFill="1" applyBorder="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4" borderId="21"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5" fillId="34" borderId="0" xfId="0" applyFont="1" applyFill="1" applyAlignment="1">
      <alignment vertical="center"/>
    </xf>
    <xf numFmtId="37" fontId="5" fillId="34" borderId="21" xfId="0" applyNumberFormat="1" applyFont="1" applyFill="1" applyBorder="1" applyAlignment="1" applyProtection="1">
      <alignment horizontal="left" vertical="center"/>
      <protection/>
    </xf>
    <xf numFmtId="37" fontId="5" fillId="34" borderId="20" xfId="0" applyNumberFormat="1"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horizontal="right" vertical="center" wrapText="1"/>
      <protection locked="0"/>
    </xf>
    <xf numFmtId="37" fontId="5" fillId="35" borderId="10" xfId="0" applyNumberFormat="1" applyFont="1" applyFill="1" applyBorder="1" applyAlignment="1" applyProtection="1">
      <alignment horizontal="right" vertical="center" wrapText="1"/>
      <protection/>
    </xf>
    <xf numFmtId="37" fontId="5" fillId="34" borderId="0" xfId="0" applyNumberFormat="1"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protection/>
    </xf>
    <xf numFmtId="0" fontId="5" fillId="34" borderId="22" xfId="0" applyFont="1" applyFill="1" applyBorder="1" applyAlignment="1" applyProtection="1">
      <alignment vertical="center"/>
      <protection/>
    </xf>
    <xf numFmtId="0" fontId="0" fillId="34" borderId="0" xfId="0" applyFill="1" applyAlignment="1" applyProtection="1">
      <alignment vertical="center"/>
      <protection/>
    </xf>
    <xf numFmtId="3" fontId="0" fillId="34" borderId="0" xfId="0" applyNumberForma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37" fontId="5" fillId="34" borderId="11" xfId="0" applyNumberFormat="1" applyFont="1" applyFill="1" applyBorder="1" applyAlignment="1">
      <alignment horizontal="left" vertical="center"/>
    </xf>
    <xf numFmtId="37" fontId="5" fillId="34" borderId="11" xfId="0" applyNumberFormat="1" applyFont="1" applyFill="1" applyBorder="1" applyAlignment="1" applyProtection="1">
      <alignment horizontal="left" vertical="center"/>
      <protection/>
    </xf>
    <xf numFmtId="3" fontId="5" fillId="35" borderId="19"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9" xfId="0" applyNumberFormat="1" applyFont="1" applyFill="1" applyBorder="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horizontal="center" vertical="center"/>
    </xf>
    <xf numFmtId="37" fontId="5" fillId="38" borderId="0" xfId="0" applyNumberFormat="1" applyFont="1" applyFill="1" applyBorder="1" applyAlignment="1" applyProtection="1">
      <alignment horizontal="left" vertical="center"/>
      <protection/>
    </xf>
    <xf numFmtId="0" fontId="5" fillId="38" borderId="0" xfId="0" applyFont="1" applyFill="1" applyAlignment="1" applyProtection="1">
      <alignment vertical="center"/>
      <protection/>
    </xf>
    <xf numFmtId="0" fontId="0" fillId="38" borderId="0" xfId="0" applyFill="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1" xfId="0" applyFill="1" applyBorder="1" applyAlignment="1">
      <alignment vertical="center"/>
    </xf>
    <xf numFmtId="3" fontId="5" fillId="33" borderId="16" xfId="0" applyNumberFormat="1" applyFont="1" applyFill="1" applyBorder="1" applyAlignment="1" applyProtection="1">
      <alignment vertical="center"/>
      <protection locked="0"/>
    </xf>
    <xf numFmtId="0" fontId="5" fillId="34" borderId="20" xfId="0" applyFont="1" applyFill="1" applyBorder="1" applyAlignment="1">
      <alignment vertical="center"/>
    </xf>
    <xf numFmtId="0" fontId="0" fillId="34" borderId="20" xfId="0" applyFill="1" applyBorder="1" applyAlignment="1">
      <alignment vertical="center"/>
    </xf>
    <xf numFmtId="0" fontId="0" fillId="34" borderId="19" xfId="0" applyFill="1" applyBorder="1" applyAlignment="1">
      <alignment vertical="center"/>
    </xf>
    <xf numFmtId="0" fontId="5" fillId="37" borderId="12" xfId="0" applyFont="1" applyFill="1" applyBorder="1" applyAlignment="1">
      <alignment horizontal="center" vertical="center"/>
    </xf>
    <xf numFmtId="0" fontId="5" fillId="37" borderId="15"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0" fontId="5" fillId="37" borderId="16" xfId="0" applyFont="1" applyFill="1" applyBorder="1" applyAlignment="1">
      <alignment horizontal="center" vertical="center"/>
    </xf>
    <xf numFmtId="37" fontId="5" fillId="34" borderId="16" xfId="0" applyNumberFormat="1" applyFont="1" applyFill="1" applyBorder="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Continuous" vertical="center"/>
      <protection/>
    </xf>
    <xf numFmtId="37" fontId="5" fillId="34" borderId="11" xfId="0" applyNumberFormat="1" applyFont="1" applyFill="1" applyBorder="1" applyAlignment="1" applyProtection="1">
      <alignment horizontal="centerContinuous" vertical="center"/>
      <protection/>
    </xf>
    <xf numFmtId="0" fontId="5" fillId="34" borderId="20" xfId="0" applyFont="1" applyFill="1" applyBorder="1" applyAlignment="1" applyProtection="1">
      <alignment horizontal="centerContinuous" vertical="center"/>
      <protection/>
    </xf>
    <xf numFmtId="0" fontId="5" fillId="34" borderId="19" xfId="0" applyFont="1" applyFill="1" applyBorder="1" applyAlignment="1" applyProtection="1">
      <alignment horizontal="centerContinuous" vertical="center"/>
      <protection/>
    </xf>
    <xf numFmtId="37" fontId="5" fillId="34" borderId="17"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5" xfId="0" applyNumberFormat="1" applyFont="1" applyFill="1" applyBorder="1" applyAlignment="1" applyProtection="1">
      <alignment horizontal="center" vertical="center"/>
      <protection/>
    </xf>
    <xf numFmtId="0" fontId="5" fillId="34" borderId="15" xfId="0" applyFont="1" applyFill="1" applyBorder="1" applyAlignment="1">
      <alignment horizontal="center" vertical="center"/>
    </xf>
    <xf numFmtId="37" fontId="4" fillId="34" borderId="17"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center" vertical="center"/>
      <protection/>
    </xf>
    <xf numFmtId="0" fontId="5" fillId="34" borderId="16" xfId="0" applyFont="1" applyFill="1" applyBorder="1" applyAlignment="1">
      <alignment horizontal="center" vertical="center"/>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5" xfId="0" applyFont="1" applyFill="1" applyBorder="1" applyAlignment="1" applyProtection="1">
      <alignment vertical="center"/>
      <protection/>
    </xf>
    <xf numFmtId="37" fontId="14" fillId="34" borderId="11" xfId="0" applyNumberFormat="1" applyFont="1" applyFill="1" applyBorder="1" applyAlignment="1" applyProtection="1">
      <alignment horizontal="left" vertical="center"/>
      <protection/>
    </xf>
    <xf numFmtId="37" fontId="14" fillId="34" borderId="19"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vertical="center"/>
      <protection/>
    </xf>
    <xf numFmtId="0" fontId="5" fillId="34" borderId="19"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9" borderId="10" xfId="0" applyFont="1" applyFill="1" applyBorder="1" applyAlignment="1" applyProtection="1">
      <alignment vertical="center"/>
      <protection/>
    </xf>
    <xf numFmtId="37" fontId="5" fillId="39" borderId="10"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left" vertical="center"/>
      <protection/>
    </xf>
    <xf numFmtId="37" fontId="5" fillId="34" borderId="0" xfId="0" applyNumberFormat="1" applyFont="1" applyFill="1" applyAlignment="1" applyProtection="1">
      <alignment horizontal="right" vertical="center"/>
      <protection/>
    </xf>
    <xf numFmtId="0" fontId="5" fillId="33" borderId="17" xfId="0" applyFont="1" applyFill="1" applyBorder="1" applyAlignment="1" applyProtection="1">
      <alignment vertical="center"/>
      <protection locked="0"/>
    </xf>
    <xf numFmtId="0" fontId="5" fillId="33" borderId="20" xfId="0" applyFont="1" applyFill="1" applyBorder="1" applyAlignment="1" applyProtection="1">
      <alignment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7" xfId="0" applyNumberFormat="1" applyFont="1" applyFill="1" applyBorder="1" applyAlignment="1">
      <alignment vertical="center"/>
    </xf>
    <xf numFmtId="3" fontId="5" fillId="34" borderId="20" xfId="0" applyNumberFormat="1" applyFont="1" applyFill="1" applyBorder="1" applyAlignment="1" applyProtection="1">
      <alignment horizontal="right" vertical="center"/>
      <protection/>
    </xf>
    <xf numFmtId="3" fontId="5" fillId="34" borderId="20" xfId="0" applyNumberFormat="1" applyFont="1" applyFill="1" applyBorder="1" applyAlignment="1">
      <alignment vertical="center"/>
    </xf>
    <xf numFmtId="0" fontId="5" fillId="34" borderId="0" xfId="0" applyFont="1" applyFill="1" applyAlignment="1">
      <alignment horizontal="right" vertical="center"/>
    </xf>
    <xf numFmtId="37" fontId="5" fillId="34" borderId="0" xfId="0" applyNumberFormat="1" applyFont="1" applyFill="1" applyAlignment="1" applyProtection="1">
      <alignment vertical="center"/>
      <protection/>
    </xf>
    <xf numFmtId="0" fontId="5" fillId="34" borderId="17"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3" fontId="5" fillId="35"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7"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7"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xf>
    <xf numFmtId="0" fontId="5" fillId="33" borderId="16" xfId="0" applyFont="1" applyFill="1" applyBorder="1" applyAlignment="1" applyProtection="1">
      <alignment vertical="center"/>
      <protection locked="0"/>
    </xf>
    <xf numFmtId="0" fontId="5" fillId="33" borderId="16"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4" borderId="0" xfId="0" applyNumberFormat="1" applyFont="1" applyFill="1" applyAlignment="1" applyProtection="1">
      <alignment horizontal="right" vertical="center"/>
      <protection/>
    </xf>
    <xf numFmtId="0" fontId="4" fillId="34" borderId="0" xfId="577" applyFont="1" applyFill="1" applyAlignment="1" applyProtection="1">
      <alignment horizontal="centerContinuous" vertical="center"/>
      <protection/>
    </xf>
    <xf numFmtId="0" fontId="5" fillId="34" borderId="17" xfId="0" applyFont="1" applyFill="1" applyBorder="1" applyAlignment="1" applyProtection="1">
      <alignment horizontal="fill" vertical="center"/>
      <protection/>
    </xf>
    <xf numFmtId="0" fontId="5"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14" fontId="5" fillId="34" borderId="16" xfId="0" applyNumberFormat="1" applyFont="1" applyFill="1" applyBorder="1" applyAlignment="1" applyProtection="1" quotePrefix="1">
      <alignment horizontal="center" vertical="center"/>
      <protection/>
    </xf>
    <xf numFmtId="0" fontId="5" fillId="33" borderId="10"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5" borderId="24" xfId="0" applyNumberFormat="1" applyFont="1" applyFill="1" applyBorder="1" applyAlignment="1" applyProtection="1">
      <alignment horizontal="center" vertical="center"/>
      <protection/>
    </xf>
    <xf numFmtId="0" fontId="5" fillId="38" borderId="0" xfId="576" applyFont="1" applyFill="1" applyAlignment="1" applyProtection="1">
      <alignment vertical="center"/>
      <protection/>
    </xf>
    <xf numFmtId="0" fontId="5" fillId="0" borderId="0" xfId="0" applyFont="1" applyAlignment="1">
      <alignment horizontal="centerContinuous" vertical="center"/>
    </xf>
    <xf numFmtId="37" fontId="5" fillId="34" borderId="0" xfId="0" applyNumberFormat="1" applyFont="1" applyFill="1" applyBorder="1" applyAlignment="1" applyProtection="1">
      <alignment horizontal="fill" vertical="center"/>
      <protection/>
    </xf>
    <xf numFmtId="1" fontId="5" fillId="34" borderId="11" xfId="0" applyNumberFormat="1" applyFont="1" applyFill="1" applyBorder="1" applyAlignment="1" applyProtection="1">
      <alignment horizontal="centerContinuous" vertical="center"/>
      <protection/>
    </xf>
    <xf numFmtId="1" fontId="5" fillId="34" borderId="12"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7" xfId="0" applyNumberFormat="1" applyFont="1" applyFill="1" applyBorder="1" applyAlignment="1" applyProtection="1">
      <alignment horizontal="center" vertical="center"/>
      <protection/>
    </xf>
    <xf numFmtId="0" fontId="5" fillId="33" borderId="0" xfId="0" applyFont="1" applyFill="1" applyAlignment="1" applyProtection="1">
      <alignment horizontal="left" vertical="center"/>
      <protection locked="0"/>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8" fontId="5" fillId="34" borderId="24" xfId="0" applyNumberFormat="1" applyFont="1" applyFill="1" applyBorder="1" applyAlignment="1" applyProtection="1">
      <alignment horizontal="center" vertical="center"/>
      <protection/>
    </xf>
    <xf numFmtId="188" fontId="5" fillId="34" borderId="17"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7"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7"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34" borderId="0" xfId="0" applyFont="1" applyFill="1" applyAlignment="1">
      <alignment horizontal="center" vertical="center"/>
    </xf>
    <xf numFmtId="0" fontId="5" fillId="34" borderId="19" xfId="0" applyFont="1" applyFill="1" applyBorder="1" applyAlignment="1">
      <alignment horizontal="center" vertical="center"/>
    </xf>
    <xf numFmtId="0" fontId="13" fillId="34" borderId="12" xfId="0" applyFont="1" applyFill="1" applyBorder="1" applyAlignment="1">
      <alignment vertical="center"/>
    </xf>
    <xf numFmtId="0" fontId="13" fillId="34" borderId="19" xfId="0" applyFont="1" applyFill="1" applyBorder="1" applyAlignment="1">
      <alignment horizontal="center" vertical="center"/>
    </xf>
    <xf numFmtId="0" fontId="13" fillId="34" borderId="13" xfId="0" applyFont="1" applyFill="1" applyBorder="1" applyAlignment="1">
      <alignment vertical="center"/>
    </xf>
    <xf numFmtId="0" fontId="13" fillId="34" borderId="10" xfId="0" applyFont="1" applyFill="1" applyBorder="1" applyAlignment="1">
      <alignment horizontal="center" vertical="center"/>
    </xf>
    <xf numFmtId="0" fontId="5" fillId="34" borderId="19" xfId="0" applyFont="1" applyFill="1" applyBorder="1" applyAlignment="1">
      <alignment vertical="center"/>
    </xf>
    <xf numFmtId="0" fontId="5" fillId="34" borderId="10" xfId="0" applyFont="1" applyFill="1" applyBorder="1" applyAlignment="1">
      <alignment horizontal="center" vertical="center"/>
    </xf>
    <xf numFmtId="0" fontId="13" fillId="34" borderId="18"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7"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3" fontId="13" fillId="33" borderId="13" xfId="0" applyNumberFormat="1" applyFont="1" applyFill="1" applyBorder="1" applyAlignment="1" applyProtection="1">
      <alignment vertical="center"/>
      <protection locked="0"/>
    </xf>
    <xf numFmtId="0" fontId="13" fillId="33" borderId="13"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9" xfId="0" applyFont="1" applyFill="1" applyBorder="1" applyAlignment="1" applyProtection="1">
      <alignment vertical="center"/>
      <protection locked="0"/>
    </xf>
    <xf numFmtId="0" fontId="13" fillId="33" borderId="16" xfId="0" applyFont="1" applyFill="1" applyBorder="1" applyAlignment="1" applyProtection="1">
      <alignment vertical="center"/>
      <protection locked="0"/>
    </xf>
    <xf numFmtId="0" fontId="13" fillId="33" borderId="23" xfId="0" applyFont="1" applyFill="1" applyBorder="1" applyAlignment="1" applyProtection="1">
      <alignment vertical="center"/>
      <protection locked="0"/>
    </xf>
    <xf numFmtId="3" fontId="19" fillId="39" borderId="10" xfId="0" applyNumberFormat="1" applyFont="1" applyFill="1" applyBorder="1" applyAlignment="1">
      <alignment horizontal="center" vertical="center"/>
    </xf>
    <xf numFmtId="3" fontId="28" fillId="39" borderId="0" xfId="0" applyNumberFormat="1" applyFont="1" applyFill="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1" fontId="5" fillId="34" borderId="0" xfId="0" applyNumberFormat="1" applyFont="1" applyFill="1" applyBorder="1" applyAlignment="1" applyProtection="1">
      <alignment horizontal="right" vertical="center"/>
      <protection/>
    </xf>
    <xf numFmtId="0" fontId="4" fillId="34" borderId="0" xfId="0" applyFont="1" applyFill="1" applyAlignment="1" applyProtection="1">
      <alignment vertical="center"/>
      <protection/>
    </xf>
    <xf numFmtId="166" fontId="5" fillId="34" borderId="17" xfId="0" applyNumberFormat="1" applyFont="1" applyFill="1" applyBorder="1" applyAlignment="1" applyProtection="1">
      <alignment vertical="center"/>
      <protection/>
    </xf>
    <xf numFmtId="37" fontId="5" fillId="34" borderId="17" xfId="0" applyNumberFormat="1" applyFont="1" applyFill="1" applyBorder="1" applyAlignment="1" applyProtection="1" quotePrefix="1">
      <alignment horizontal="right" vertical="center"/>
      <protection/>
    </xf>
    <xf numFmtId="3" fontId="5" fillId="33" borderId="19" xfId="0" applyNumberFormat="1"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5" fillId="33" borderId="11" xfId="0"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5" fillId="33" borderId="11" xfId="0" applyNumberFormat="1" applyFont="1" applyFill="1" applyBorder="1" applyAlignment="1" applyProtection="1">
      <alignment horizontal="left" vertical="center"/>
      <protection locked="0"/>
    </xf>
    <xf numFmtId="0" fontId="5" fillId="34" borderId="11" xfId="0" applyFont="1" applyFill="1" applyBorder="1" applyAlignment="1" applyProtection="1">
      <alignment vertical="center"/>
      <protection/>
    </xf>
    <xf numFmtId="3" fontId="17" fillId="36" borderId="13"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5" fillId="34" borderId="0" xfId="0" applyFont="1" applyFill="1" applyAlignment="1" applyProtection="1">
      <alignment horizontal="center" vertical="center"/>
      <protection/>
    </xf>
    <xf numFmtId="0" fontId="5" fillId="34" borderId="16"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left" vertical="center"/>
      <protection/>
    </xf>
    <xf numFmtId="0" fontId="5" fillId="34" borderId="18"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locked="0"/>
    </xf>
    <xf numFmtId="3" fontId="5" fillId="34" borderId="17"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1" fontId="5" fillId="34" borderId="0" xfId="0" applyNumberFormat="1" applyFont="1" applyFill="1" applyAlignment="1" applyProtection="1">
      <alignment horizontal="right" vertical="center"/>
      <protection/>
    </xf>
    <xf numFmtId="3" fontId="5" fillId="34" borderId="10" xfId="0" applyNumberFormat="1" applyFont="1" applyFill="1" applyBorder="1" applyAlignment="1" applyProtection="1">
      <alignment horizontal="fill" vertical="center"/>
      <protection/>
    </xf>
    <xf numFmtId="0" fontId="17" fillId="0" borderId="0" xfId="0" applyFont="1" applyAlignment="1" applyProtection="1">
      <alignment vertical="center"/>
      <protection/>
    </xf>
    <xf numFmtId="3" fontId="5" fillId="0" borderId="0" xfId="0" applyNumberFormat="1" applyFont="1" applyAlignment="1" applyProtection="1">
      <alignment horizontal="fill" vertical="center"/>
      <protection locked="0"/>
    </xf>
    <xf numFmtId="37" fontId="4" fillId="35" borderId="11" xfId="0" applyNumberFormat="1" applyFont="1" applyFill="1" applyBorder="1" applyAlignment="1" applyProtection="1">
      <alignment horizontal="left" vertical="center"/>
      <protection/>
    </xf>
    <xf numFmtId="3" fontId="5" fillId="39" borderId="24" xfId="0" applyNumberFormat="1" applyFont="1" applyFill="1" applyBorder="1" applyAlignment="1" applyProtection="1">
      <alignment vertical="center"/>
      <protection/>
    </xf>
    <xf numFmtId="37" fontId="5" fillId="34" borderId="0" xfId="0" applyNumberFormat="1" applyFont="1" applyFill="1" applyAlignment="1" applyProtection="1" quotePrefix="1">
      <alignment horizontal="right" vertical="center"/>
      <protection/>
    </xf>
    <xf numFmtId="3" fontId="5" fillId="34" borderId="10" xfId="42"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locked="0"/>
    </xf>
    <xf numFmtId="3" fontId="5" fillId="34" borderId="10"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locked="0"/>
    </xf>
    <xf numFmtId="0" fontId="5" fillId="33" borderId="14" xfId="0" applyNumberFormat="1" applyFont="1" applyFill="1" applyBorder="1" applyAlignment="1" applyProtection="1">
      <alignment horizontal="left" vertical="center"/>
      <protection locked="0"/>
    </xf>
    <xf numFmtId="3" fontId="17" fillId="36" borderId="10" xfId="0" applyNumberFormat="1" applyFont="1" applyFill="1" applyBorder="1" applyAlignment="1" applyProtection="1">
      <alignment horizontal="center" vertical="center"/>
      <protection/>
    </xf>
    <xf numFmtId="3" fontId="4" fillId="35" borderId="16"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protection/>
    </xf>
    <xf numFmtId="3" fontId="5" fillId="35" borderId="10" xfId="0" applyNumberFormat="1" applyFont="1" applyFill="1" applyBorder="1" applyAlignment="1" applyProtection="1">
      <alignment horizontal="right" vertical="center"/>
      <protection/>
    </xf>
    <xf numFmtId="0" fontId="5" fillId="34" borderId="0" xfId="0" applyFont="1" applyFill="1" applyBorder="1" applyAlignment="1" applyProtection="1">
      <alignment horizontal="fill" vertical="center"/>
      <protection/>
    </xf>
    <xf numFmtId="37" fontId="5" fillId="34" borderId="10" xfId="0" applyNumberFormat="1" applyFont="1" applyFill="1" applyBorder="1" applyAlignment="1" applyProtection="1">
      <alignment horizontal="fill" vertical="center"/>
      <protection/>
    </xf>
    <xf numFmtId="37" fontId="5"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horizontal="left" vertical="center"/>
      <protection/>
    </xf>
    <xf numFmtId="0" fontId="5" fillId="35" borderId="11" xfId="0" applyFont="1" applyFill="1" applyBorder="1" applyAlignment="1" applyProtection="1">
      <alignment horizontal="left" vertical="center"/>
      <protection locked="0"/>
    </xf>
    <xf numFmtId="0" fontId="5" fillId="35" borderId="11" xfId="0" applyFont="1" applyFill="1" applyBorder="1" applyAlignment="1" applyProtection="1">
      <alignment vertical="center"/>
      <protection/>
    </xf>
    <xf numFmtId="0" fontId="5" fillId="34" borderId="0" xfId="0" applyFont="1" applyFill="1" applyAlignment="1" applyProtection="1">
      <alignment horizontal="fill" vertical="center"/>
      <protection/>
    </xf>
    <xf numFmtId="0" fontId="5" fillId="34" borderId="10"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9" borderId="24"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0" fontId="5" fillId="40" borderId="0" xfId="0" applyNumberFormat="1" applyFont="1" applyFill="1" applyBorder="1" applyAlignment="1" applyProtection="1">
      <alignment vertical="center"/>
      <protection/>
    </xf>
    <xf numFmtId="37" fontId="5" fillId="40" borderId="0" xfId="0" applyNumberFormat="1" applyFont="1" applyFill="1" applyBorder="1" applyAlignment="1" applyProtection="1">
      <alignment vertical="center"/>
      <protection/>
    </xf>
    <xf numFmtId="0" fontId="5" fillId="40" borderId="0" xfId="0" applyNumberFormat="1" applyFont="1" applyFill="1" applyBorder="1" applyAlignment="1" applyProtection="1">
      <alignment horizontal="left" vertical="center"/>
      <protection/>
    </xf>
    <xf numFmtId="0" fontId="5" fillId="40" borderId="25" xfId="0" applyNumberFormat="1" applyFont="1" applyFill="1" applyBorder="1" applyAlignment="1" applyProtection="1">
      <alignment horizontal="left" vertical="center"/>
      <protection/>
    </xf>
    <xf numFmtId="37" fontId="5" fillId="40" borderId="25" xfId="0" applyNumberFormat="1" applyFont="1" applyFill="1" applyBorder="1" applyAlignment="1" applyProtection="1">
      <alignment vertical="center"/>
      <protection/>
    </xf>
    <xf numFmtId="0" fontId="5" fillId="41" borderId="25" xfId="0" applyNumberFormat="1" applyFont="1" applyFill="1" applyBorder="1" applyAlignment="1" applyProtection="1">
      <alignment horizontal="left" vertical="center"/>
      <protection locked="0"/>
    </xf>
    <xf numFmtId="37" fontId="5" fillId="41" borderId="25" xfId="0" applyNumberFormat="1" applyFont="1" applyFill="1" applyBorder="1" applyAlignment="1" applyProtection="1">
      <alignment vertical="center"/>
      <protection locked="0"/>
    </xf>
    <xf numFmtId="0" fontId="5" fillId="41" borderId="25" xfId="0" applyNumberFormat="1" applyFont="1" applyFill="1" applyBorder="1" applyAlignment="1" applyProtection="1">
      <alignment vertical="center"/>
      <protection locked="0"/>
    </xf>
    <xf numFmtId="37" fontId="4" fillId="42" borderId="25" xfId="0" applyNumberFormat="1" applyFont="1" applyFill="1" applyBorder="1" applyAlignment="1" applyProtection="1">
      <alignment vertical="center"/>
      <protection/>
    </xf>
    <xf numFmtId="0" fontId="5" fillId="41" borderId="0" xfId="0" applyNumberFormat="1" applyFont="1" applyFill="1" applyBorder="1" applyAlignment="1" applyProtection="1">
      <alignment horizontal="left" vertical="center"/>
      <protection locked="0"/>
    </xf>
    <xf numFmtId="0" fontId="5" fillId="40" borderId="25" xfId="0" applyNumberFormat="1" applyFont="1" applyFill="1" applyBorder="1" applyAlignment="1" applyProtection="1">
      <alignment vertical="center"/>
      <protection/>
    </xf>
    <xf numFmtId="37" fontId="5" fillId="42" borderId="25" xfId="0" applyNumberFormat="1" applyFont="1" applyFill="1" applyBorder="1" applyAlignment="1" applyProtection="1">
      <alignment vertical="center"/>
      <protection/>
    </xf>
    <xf numFmtId="0" fontId="17" fillId="40" borderId="0" xfId="0" applyNumberFormat="1" applyFont="1" applyFill="1" applyBorder="1" applyAlignment="1" applyProtection="1">
      <alignment vertical="center"/>
      <protection/>
    </xf>
    <xf numFmtId="37" fontId="4" fillId="43" borderId="26" xfId="0" applyNumberFormat="1" applyFont="1" applyFill="1" applyBorder="1" applyAlignment="1" applyProtection="1">
      <alignment vertical="center"/>
      <protection/>
    </xf>
    <xf numFmtId="0" fontId="5" fillId="0" borderId="0" xfId="564" applyFont="1" applyAlignment="1">
      <alignment vertical="center"/>
      <protection/>
    </xf>
    <xf numFmtId="0" fontId="5" fillId="0" borderId="0" xfId="535" applyFont="1" applyAlignment="1">
      <alignment vertical="center"/>
      <protection/>
    </xf>
    <xf numFmtId="0" fontId="5" fillId="0" borderId="0" xfId="86" applyFont="1" applyAlignment="1">
      <alignment vertical="center"/>
      <protection/>
    </xf>
    <xf numFmtId="0" fontId="5" fillId="0" borderId="0" xfId="105" applyFont="1" applyAlignment="1">
      <alignment vertical="center"/>
      <protection/>
    </xf>
    <xf numFmtId="0" fontId="29" fillId="0" borderId="0" xfId="541">
      <alignment/>
      <protection/>
    </xf>
    <xf numFmtId="0" fontId="5" fillId="0" borderId="0" xfId="541" applyFont="1" applyAlignment="1">
      <alignment horizontal="left" vertical="center"/>
      <protection/>
    </xf>
    <xf numFmtId="189" fontId="13" fillId="0" borderId="0" xfId="541" applyNumberFormat="1" applyFont="1" applyAlignment="1">
      <alignment horizontal="left" vertical="center"/>
      <protection/>
    </xf>
    <xf numFmtId="49" fontId="5" fillId="0" borderId="0" xfId="541" applyNumberFormat="1" applyFont="1" applyAlignment="1">
      <alignment horizontal="left" vertical="center"/>
      <protection/>
    </xf>
    <xf numFmtId="0" fontId="13" fillId="0" borderId="0" xfId="541" applyFont="1" applyAlignment="1">
      <alignment horizontal="left" vertical="center"/>
      <protection/>
    </xf>
    <xf numFmtId="190" fontId="13" fillId="0" borderId="0" xfId="541" applyNumberFormat="1" applyFont="1" applyAlignment="1">
      <alignment horizontal="lef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41" applyFont="1">
      <alignment/>
      <protection/>
    </xf>
    <xf numFmtId="0" fontId="0" fillId="0" borderId="0" xfId="24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51" applyFont="1" applyAlignment="1">
      <alignment vertical="center"/>
      <protection/>
    </xf>
    <xf numFmtId="0" fontId="6" fillId="0" borderId="0" xfId="156" applyFont="1" applyAlignment="1">
      <alignment vertical="center"/>
      <protection/>
    </xf>
    <xf numFmtId="0" fontId="5" fillId="0" borderId="0" xfId="240" applyFont="1" applyAlignment="1">
      <alignment vertical="center" wrapText="1"/>
      <protection/>
    </xf>
    <xf numFmtId="0" fontId="5" fillId="0" borderId="0" xfId="166" applyFont="1" applyAlignment="1">
      <alignment vertical="center" wrapText="1"/>
      <protection/>
    </xf>
    <xf numFmtId="0" fontId="5" fillId="34" borderId="0" xfId="0" applyFont="1" applyFill="1" applyAlignment="1">
      <alignment/>
    </xf>
    <xf numFmtId="0" fontId="90"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14" fontId="5" fillId="33" borderId="10" xfId="0" applyNumberFormat="1" applyFont="1" applyFill="1" applyBorder="1" applyAlignment="1" applyProtection="1">
      <alignment horizontal="center"/>
      <protection locked="0"/>
    </xf>
    <xf numFmtId="3" fontId="13" fillId="35" borderId="16" xfId="0" applyNumberFormat="1" applyFont="1" applyFill="1" applyBorder="1" applyAlignment="1">
      <alignment horizontal="center" vertical="center"/>
    </xf>
    <xf numFmtId="37" fontId="15" fillId="34" borderId="0" xfId="0" applyNumberFormat="1" applyFont="1" applyFill="1" applyAlignment="1" applyProtection="1">
      <alignment horizontal="center" vertical="center"/>
      <protection/>
    </xf>
    <xf numFmtId="3" fontId="5" fillId="33" borderId="11" xfId="0" applyNumberFormat="1" applyFont="1" applyFill="1" applyBorder="1" applyAlignment="1" applyProtection="1">
      <alignment vertical="center"/>
      <protection locked="0"/>
    </xf>
    <xf numFmtId="3" fontId="17" fillId="36"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vertical="center"/>
      <protection/>
    </xf>
    <xf numFmtId="0" fontId="5" fillId="34" borderId="18"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0" fontId="5" fillId="34" borderId="0"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locked="0"/>
    </xf>
    <xf numFmtId="1" fontId="5" fillId="34" borderId="18"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right" vertical="center"/>
      <protection/>
    </xf>
    <xf numFmtId="3" fontId="4" fillId="35" borderId="18" xfId="0" applyNumberFormat="1" applyFont="1" applyFill="1" applyBorder="1" applyAlignment="1" applyProtection="1">
      <alignment horizontal="right" vertical="center"/>
      <protection/>
    </xf>
    <xf numFmtId="3" fontId="4" fillId="35" borderId="11"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180" fontId="5" fillId="34" borderId="0" xfId="0" applyNumberFormat="1" applyFont="1" applyFill="1" applyBorder="1" applyAlignment="1" applyProtection="1">
      <alignment vertical="center"/>
      <protection/>
    </xf>
    <xf numFmtId="0" fontId="9" fillId="40" borderId="0" xfId="0" applyFont="1" applyFill="1" applyBorder="1" applyAlignment="1" applyProtection="1">
      <alignment vertical="center" shrinkToFit="1"/>
      <protection/>
    </xf>
    <xf numFmtId="3" fontId="5" fillId="40" borderId="0" xfId="42" applyNumberFormat="1" applyFont="1" applyFill="1" applyBorder="1" applyAlignment="1" applyProtection="1">
      <alignment vertical="center"/>
      <protection locked="0"/>
    </xf>
    <xf numFmtId="0" fontId="5" fillId="34" borderId="27" xfId="0" applyFont="1" applyFill="1" applyBorder="1" applyAlignment="1" applyProtection="1">
      <alignment horizontal="center" vertical="center"/>
      <protection/>
    </xf>
    <xf numFmtId="0" fontId="5" fillId="33" borderId="11" xfId="87" applyNumberFormat="1" applyFont="1" applyFill="1" applyBorder="1" applyAlignment="1" applyProtection="1">
      <alignment horizontal="left" vertical="center"/>
      <protection locked="0"/>
    </xf>
    <xf numFmtId="0" fontId="33" fillId="40" borderId="28" xfId="0" applyFont="1" applyFill="1" applyBorder="1" applyAlignment="1">
      <alignment/>
    </xf>
    <xf numFmtId="0" fontId="33" fillId="40" borderId="29" xfId="0" applyFont="1" applyFill="1" applyBorder="1" applyAlignment="1">
      <alignment/>
    </xf>
    <xf numFmtId="0" fontId="33" fillId="40" borderId="30" xfId="0" applyFont="1" applyFill="1" applyBorder="1" applyAlignment="1">
      <alignment/>
    </xf>
    <xf numFmtId="194" fontId="33" fillId="41" borderId="31" xfId="0" applyNumberFormat="1" applyFont="1" applyFill="1" applyBorder="1" applyAlignment="1" applyProtection="1">
      <alignment horizontal="center"/>
      <protection locked="0"/>
    </xf>
    <xf numFmtId="188" fontId="33" fillId="40" borderId="0" xfId="0" applyNumberFormat="1" applyFont="1" applyFill="1" applyBorder="1" applyAlignment="1">
      <alignment horizontal="center"/>
    </xf>
    <xf numFmtId="0" fontId="91" fillId="0" borderId="0" xfId="0" applyFont="1" applyBorder="1" applyAlignment="1">
      <alignment/>
    </xf>
    <xf numFmtId="0" fontId="33" fillId="0" borderId="0" xfId="0" applyFont="1" applyBorder="1" applyAlignment="1">
      <alignment/>
    </xf>
    <xf numFmtId="0" fontId="92"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0" borderId="32" xfId="0" applyFont="1" applyFill="1" applyBorder="1" applyAlignment="1">
      <alignment/>
    </xf>
    <xf numFmtId="0" fontId="33" fillId="40" borderId="22" xfId="0" applyFont="1" applyFill="1" applyBorder="1" applyAlignment="1">
      <alignment/>
    </xf>
    <xf numFmtId="0" fontId="33" fillId="40" borderId="33" xfId="0" applyFont="1" applyFill="1" applyBorder="1" applyAlignment="1">
      <alignment/>
    </xf>
    <xf numFmtId="5" fontId="33" fillId="40" borderId="34" xfId="0" applyNumberFormat="1" applyFont="1" applyFill="1" applyBorder="1" applyAlignment="1">
      <alignment horizontal="center"/>
    </xf>
    <xf numFmtId="0" fontId="33" fillId="40" borderId="34" xfId="0" applyFont="1" applyFill="1" applyBorder="1" applyAlignment="1">
      <alignment horizontal="center"/>
    </xf>
    <xf numFmtId="188" fontId="33" fillId="40" borderId="34" xfId="0" applyNumberFormat="1" applyFont="1" applyFill="1" applyBorder="1" applyAlignment="1">
      <alignment horizontal="center"/>
    </xf>
    <xf numFmtId="195" fontId="33" fillId="40" borderId="34" xfId="0" applyNumberFormat="1" applyFont="1" applyFill="1" applyBorder="1" applyAlignment="1">
      <alignment horizontal="center"/>
    </xf>
    <xf numFmtId="0" fontId="33" fillId="40" borderId="0" xfId="0" applyFont="1" applyFill="1" applyAlignment="1">
      <alignment horizontal="center" wrapText="1"/>
    </xf>
    <xf numFmtId="0" fontId="92" fillId="40" borderId="29" xfId="0" applyFont="1" applyFill="1" applyBorder="1" applyAlignment="1">
      <alignment/>
    </xf>
    <xf numFmtId="0" fontId="33" fillId="40" borderId="35" xfId="0" applyFont="1" applyFill="1" applyBorder="1" applyAlignment="1">
      <alignment/>
    </xf>
    <xf numFmtId="0" fontId="33" fillId="40" borderId="36" xfId="0" applyFont="1" applyFill="1" applyBorder="1" applyAlignment="1">
      <alignment/>
    </xf>
    <xf numFmtId="0" fontId="33" fillId="40" borderId="30" xfId="0" applyFont="1" applyFill="1" applyBorder="1" applyAlignment="1">
      <alignment/>
    </xf>
    <xf numFmtId="0" fontId="33" fillId="40" borderId="37" xfId="0" applyFont="1" applyFill="1" applyBorder="1" applyAlignment="1">
      <alignment/>
    </xf>
    <xf numFmtId="0" fontId="33" fillId="40" borderId="32" xfId="0" applyFont="1" applyFill="1" applyBorder="1" applyAlignment="1">
      <alignment/>
    </xf>
    <xf numFmtId="0" fontId="33" fillId="40" borderId="22" xfId="0" applyFont="1" applyFill="1" applyBorder="1" applyAlignment="1">
      <alignment/>
    </xf>
    <xf numFmtId="0" fontId="33" fillId="40" borderId="33" xfId="0" applyFont="1" applyFill="1" applyBorder="1" applyAlignment="1">
      <alignment/>
    </xf>
    <xf numFmtId="178" fontId="33" fillId="40" borderId="0" xfId="0" applyNumberFormat="1" applyFont="1" applyFill="1" applyBorder="1" applyAlignment="1">
      <alignment horizontal="center"/>
    </xf>
    <xf numFmtId="0" fontId="33" fillId="40" borderId="28" xfId="0" applyFont="1" applyFill="1" applyBorder="1" applyAlignment="1">
      <alignment/>
    </xf>
    <xf numFmtId="5" fontId="33" fillId="40" borderId="0" xfId="0" applyNumberFormat="1" applyFont="1" applyFill="1" applyBorder="1" applyAlignment="1">
      <alignment horizontal="center"/>
    </xf>
    <xf numFmtId="0" fontId="33" fillId="44" borderId="0" xfId="0" applyFont="1" applyFill="1" applyAlignment="1">
      <alignment/>
    </xf>
    <xf numFmtId="188" fontId="33" fillId="41" borderId="17" xfId="0" applyNumberFormat="1" applyFont="1" applyFill="1" applyBorder="1" applyAlignment="1" applyProtection="1">
      <alignment horizontal="center"/>
      <protection locked="0"/>
    </xf>
    <xf numFmtId="195" fontId="33" fillId="40" borderId="0" xfId="0" applyNumberFormat="1" applyFont="1" applyFill="1" applyBorder="1" applyAlignment="1">
      <alignment/>
    </xf>
    <xf numFmtId="0" fontId="33" fillId="45" borderId="0" xfId="0" applyFont="1" applyFill="1" applyAlignment="1">
      <alignment/>
    </xf>
    <xf numFmtId="0" fontId="5" fillId="34" borderId="0" xfId="0" applyFont="1" applyFill="1" applyBorder="1" applyAlignment="1" applyProtection="1">
      <alignment horizontal="center" vertical="center"/>
      <protection/>
    </xf>
    <xf numFmtId="164" fontId="5" fillId="34" borderId="1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horizontal="center" vertical="center"/>
      <protection/>
    </xf>
    <xf numFmtId="3" fontId="5" fillId="34" borderId="16"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0" fontId="93" fillId="0" borderId="0" xfId="0" applyFont="1" applyAlignment="1">
      <alignment vertical="center"/>
    </xf>
    <xf numFmtId="0" fontId="5" fillId="43" borderId="21" xfId="0" applyFont="1" applyFill="1" applyBorder="1" applyAlignment="1" applyProtection="1">
      <alignment vertical="center"/>
      <protection/>
    </xf>
    <xf numFmtId="0" fontId="5" fillId="40" borderId="23" xfId="0" applyFont="1" applyFill="1" applyBorder="1" applyAlignment="1" applyProtection="1">
      <alignment vertical="center"/>
      <protection/>
    </xf>
    <xf numFmtId="0" fontId="5" fillId="40" borderId="0" xfId="0" applyFont="1" applyFill="1" applyBorder="1" applyAlignment="1" applyProtection="1">
      <alignment vertical="center"/>
      <protection/>
    </xf>
    <xf numFmtId="0" fontId="5" fillId="40" borderId="38" xfId="0" applyFont="1" applyFill="1" applyBorder="1" applyAlignment="1" applyProtection="1">
      <alignment vertical="center"/>
      <protection/>
    </xf>
    <xf numFmtId="0" fontId="5" fillId="34" borderId="0" xfId="120" applyFont="1" applyFill="1" applyAlignment="1" applyProtection="1">
      <alignment horizontal="right" vertical="center"/>
      <protection/>
    </xf>
    <xf numFmtId="0" fontId="33" fillId="40" borderId="39" xfId="0" applyFont="1" applyFill="1" applyBorder="1" applyAlignment="1">
      <alignment/>
    </xf>
    <xf numFmtId="0" fontId="33" fillId="40" borderId="34" xfId="0" applyFont="1" applyFill="1" applyBorder="1" applyAlignment="1">
      <alignment/>
    </xf>
    <xf numFmtId="3" fontId="5" fillId="34" borderId="11" xfId="42" applyNumberFormat="1" applyFont="1" applyFill="1" applyBorder="1" applyAlignment="1" applyProtection="1">
      <alignment horizontal="right" vertical="center"/>
      <protection/>
    </xf>
    <xf numFmtId="0" fontId="4" fillId="34" borderId="0" xfId="87" applyFont="1" applyFill="1" applyAlignment="1" applyProtection="1">
      <alignment vertical="center"/>
      <protection/>
    </xf>
    <xf numFmtId="0" fontId="33" fillId="40" borderId="37" xfId="0" applyFont="1" applyFill="1" applyBorder="1" applyAlignment="1">
      <alignment/>
    </xf>
    <xf numFmtId="0" fontId="33" fillId="40" borderId="0" xfId="0" applyFont="1" applyFill="1" applyBorder="1" applyAlignment="1">
      <alignment/>
    </xf>
    <xf numFmtId="194" fontId="33" fillId="40" borderId="31" xfId="0" applyNumberFormat="1" applyFont="1" applyFill="1" applyBorder="1" applyAlignment="1">
      <alignment/>
    </xf>
    <xf numFmtId="0" fontId="33" fillId="40" borderId="36" xfId="0" applyFont="1" applyFill="1" applyBorder="1" applyAlignment="1">
      <alignment/>
    </xf>
    <xf numFmtId="0" fontId="33" fillId="40" borderId="35" xfId="0" applyFont="1" applyFill="1" applyBorder="1" applyAlignment="1">
      <alignment/>
    </xf>
    <xf numFmtId="0" fontId="92" fillId="40" borderId="29" xfId="0" applyFont="1" applyFill="1" applyBorder="1" applyAlignment="1">
      <alignment/>
    </xf>
    <xf numFmtId="0" fontId="33" fillId="40" borderId="0" xfId="0" applyFont="1" applyFill="1" applyAlignment="1">
      <alignment horizontal="center"/>
    </xf>
    <xf numFmtId="0" fontId="92" fillId="40" borderId="0" xfId="0" applyFont="1" applyFill="1" applyAlignment="1">
      <alignment/>
    </xf>
    <xf numFmtId="0" fontId="92" fillId="44" borderId="0" xfId="0" applyFont="1" applyFill="1" applyAlignment="1">
      <alignment horizontal="center" wrapText="1"/>
    </xf>
    <xf numFmtId="0" fontId="33" fillId="40" borderId="0" xfId="0" applyFont="1" applyFill="1" applyAlignment="1">
      <alignment/>
    </xf>
    <xf numFmtId="0" fontId="33" fillId="0" borderId="0" xfId="0" applyFont="1" applyAlignment="1">
      <alignment/>
    </xf>
    <xf numFmtId="0" fontId="33" fillId="44" borderId="0" xfId="0" applyFont="1" applyFill="1" applyAlignment="1">
      <alignment/>
    </xf>
    <xf numFmtId="0" fontId="35" fillId="0" borderId="0" xfId="0" applyFont="1" applyAlignment="1">
      <alignment horizontal="center"/>
    </xf>
    <xf numFmtId="3" fontId="5" fillId="34" borderId="12" xfId="0" applyNumberFormat="1" applyFont="1" applyFill="1" applyBorder="1" applyAlignment="1" applyProtection="1">
      <alignment horizontal="center" vertical="center"/>
      <protection/>
    </xf>
    <xf numFmtId="0" fontId="13" fillId="43" borderId="17" xfId="0" applyFont="1" applyFill="1" applyBorder="1" applyAlignment="1" applyProtection="1">
      <alignment vertical="center"/>
      <protection/>
    </xf>
    <xf numFmtId="194" fontId="13" fillId="43" borderId="18" xfId="0" applyNumberFormat="1" applyFont="1" applyFill="1" applyBorder="1" applyAlignment="1" applyProtection="1">
      <alignment horizontal="center" vertical="center"/>
      <protection/>
    </xf>
    <xf numFmtId="194" fontId="13" fillId="40" borderId="38" xfId="0" applyNumberFormat="1" applyFont="1" applyFill="1" applyBorder="1" applyAlignment="1" applyProtection="1">
      <alignment vertical="center"/>
      <protection/>
    </xf>
    <xf numFmtId="194" fontId="13" fillId="40" borderId="18" xfId="0" applyNumberFormat="1" applyFont="1" applyFill="1" applyBorder="1" applyAlignment="1" applyProtection="1">
      <alignment horizontal="center" vertical="center"/>
      <protection/>
    </xf>
    <xf numFmtId="0" fontId="13" fillId="40" borderId="0" xfId="0" applyFont="1" applyFill="1" applyBorder="1" applyAlignment="1" applyProtection="1">
      <alignment vertical="center"/>
      <protection/>
    </xf>
    <xf numFmtId="194" fontId="13" fillId="40" borderId="38" xfId="0" applyNumberFormat="1" applyFont="1" applyFill="1" applyBorder="1" applyAlignment="1" applyProtection="1">
      <alignment horizontal="center" vertical="center"/>
      <protection/>
    </xf>
    <xf numFmtId="0" fontId="36" fillId="0" borderId="0" xfId="68" applyFont="1" applyAlignment="1" applyProtection="1">
      <alignment/>
      <protection/>
    </xf>
    <xf numFmtId="0" fontId="32" fillId="40" borderId="38" xfId="116" applyFont="1" applyFill="1" applyBorder="1" applyProtection="1">
      <alignment/>
      <protection/>
    </xf>
    <xf numFmtId="0" fontId="5" fillId="40" borderId="0" xfId="116" applyFont="1" applyFill="1" applyBorder="1" applyProtection="1">
      <alignment/>
      <protection/>
    </xf>
    <xf numFmtId="194" fontId="5" fillId="40" borderId="23" xfId="116" applyNumberFormat="1" applyFont="1" applyFill="1" applyBorder="1" applyAlignment="1" applyProtection="1">
      <alignment horizontal="center"/>
      <protection/>
    </xf>
    <xf numFmtId="0" fontId="5" fillId="40" borderId="18" xfId="116" applyFont="1" applyFill="1" applyBorder="1" applyProtection="1">
      <alignment/>
      <protection/>
    </xf>
    <xf numFmtId="0" fontId="5" fillId="40" borderId="17" xfId="116" applyFont="1" applyFill="1" applyBorder="1" applyProtection="1">
      <alignment/>
      <protection/>
    </xf>
    <xf numFmtId="194" fontId="5" fillId="43" borderId="21" xfId="116" applyNumberFormat="1" applyFont="1" applyFill="1" applyBorder="1" applyAlignment="1" applyProtection="1">
      <alignment horizontal="center"/>
      <protection/>
    </xf>
    <xf numFmtId="0" fontId="5" fillId="0" borderId="0" xfId="116" applyFont="1" applyFill="1" applyBorder="1" applyProtection="1">
      <alignment/>
      <protection/>
    </xf>
    <xf numFmtId="0" fontId="5" fillId="40" borderId="38" xfId="116" applyFont="1" applyFill="1" applyBorder="1" applyProtection="1">
      <alignment/>
      <protection/>
    </xf>
    <xf numFmtId="0" fontId="5" fillId="40" borderId="23" xfId="116" applyFont="1" applyFill="1" applyBorder="1" applyProtection="1">
      <alignment/>
      <protection/>
    </xf>
    <xf numFmtId="178" fontId="5" fillId="40" borderId="23" xfId="116" applyNumberFormat="1" applyFont="1" applyFill="1" applyBorder="1" applyAlignment="1" applyProtection="1">
      <alignment horizontal="center"/>
      <protection/>
    </xf>
    <xf numFmtId="0" fontId="5" fillId="43" borderId="38" xfId="116" applyFont="1" applyFill="1" applyBorder="1" applyProtection="1">
      <alignment/>
      <protection/>
    </xf>
    <xf numFmtId="0" fontId="5" fillId="43" borderId="0" xfId="116" applyFont="1" applyFill="1" applyBorder="1" applyProtection="1">
      <alignment/>
      <protection/>
    </xf>
    <xf numFmtId="0" fontId="5" fillId="43" borderId="18" xfId="116" applyFont="1" applyFill="1" applyBorder="1" applyProtection="1">
      <alignment/>
      <protection/>
    </xf>
    <xf numFmtId="0" fontId="5" fillId="43" borderId="17" xfId="116" applyFont="1" applyFill="1" applyBorder="1" applyProtection="1">
      <alignment/>
      <protection/>
    </xf>
    <xf numFmtId="0" fontId="5" fillId="0" borderId="0" xfId="116" applyFont="1" applyProtection="1">
      <alignment/>
      <protection/>
    </xf>
    <xf numFmtId="194" fontId="5" fillId="40" borderId="21" xfId="116" applyNumberFormat="1" applyFont="1" applyFill="1" applyBorder="1" applyAlignment="1" applyProtection="1">
      <alignment horizontal="center"/>
      <protection/>
    </xf>
    <xf numFmtId="188" fontId="5" fillId="41" borderId="23" xfId="116"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3" fontId="5" fillId="42" borderId="24" xfId="0" applyNumberFormat="1" applyFont="1" applyFill="1" applyBorder="1" applyAlignment="1" applyProtection="1">
      <alignment horizontal="center" vertical="center"/>
      <protection/>
    </xf>
    <xf numFmtId="37" fontId="5" fillId="41" borderId="11" xfId="0" applyNumberFormat="1" applyFont="1" applyFill="1" applyBorder="1" applyAlignment="1" applyProtection="1">
      <alignment vertical="center"/>
      <protection/>
    </xf>
    <xf numFmtId="3" fontId="5" fillId="34" borderId="27" xfId="0" applyNumberFormat="1" applyFont="1" applyFill="1" applyBorder="1" applyAlignment="1" applyProtection="1">
      <alignment horizontal="center" vertical="center"/>
      <protection/>
    </xf>
    <xf numFmtId="0" fontId="94" fillId="34" borderId="0" xfId="0" applyFont="1" applyFill="1" applyAlignment="1" applyProtection="1">
      <alignment horizontal="center" vertical="center"/>
      <protection/>
    </xf>
    <xf numFmtId="0" fontId="4" fillId="0" borderId="0" xfId="87" applyFont="1" applyAlignment="1">
      <alignment wrapText="1"/>
      <protection/>
    </xf>
    <xf numFmtId="0" fontId="5" fillId="0" borderId="0" xfId="87" applyFont="1">
      <alignment/>
      <protection/>
    </xf>
    <xf numFmtId="0" fontId="23" fillId="0" borderId="0" xfId="87" applyFont="1">
      <alignment/>
      <protection/>
    </xf>
    <xf numFmtId="0" fontId="22" fillId="0" borderId="0" xfId="87" applyFont="1" applyAlignment="1">
      <alignment horizontal="center"/>
      <protection/>
    </xf>
    <xf numFmtId="0" fontId="95" fillId="0" borderId="0" xfId="87" applyFont="1" applyAlignment="1">
      <alignment wrapText="1"/>
      <protection/>
    </xf>
    <xf numFmtId="0" fontId="5" fillId="0" borderId="38" xfId="0" applyFont="1" applyBorder="1" applyAlignment="1" applyProtection="1">
      <alignment vertical="center"/>
      <protection locked="0"/>
    </xf>
    <xf numFmtId="3" fontId="17" fillId="36" borderId="12" xfId="0" applyNumberFormat="1" applyFont="1" applyFill="1" applyBorder="1" applyAlignment="1" applyProtection="1">
      <alignment horizontal="center" vertical="center"/>
      <protection/>
    </xf>
    <xf numFmtId="3" fontId="17" fillId="36" borderId="12" xfId="0" applyNumberFormat="1" applyFont="1" applyFill="1" applyBorder="1" applyAlignment="1" applyProtection="1">
      <alignment horizontal="center"/>
      <protection/>
    </xf>
    <xf numFmtId="0" fontId="5" fillId="0" borderId="0" xfId="120" applyFont="1" applyAlignment="1">
      <alignment vertical="center" wrapText="1"/>
      <protection/>
    </xf>
    <xf numFmtId="0" fontId="5" fillId="0" borderId="0" xfId="87" applyFont="1" applyAlignment="1">
      <alignment vertical="center" wrapText="1"/>
      <protection/>
    </xf>
    <xf numFmtId="0" fontId="5" fillId="0" borderId="0" xfId="466" applyFont="1" applyAlignment="1">
      <alignment vertical="center" wrapText="1"/>
      <protection/>
    </xf>
    <xf numFmtId="0" fontId="5" fillId="0" borderId="0" xfId="499" applyNumberFormat="1" applyFont="1" applyAlignment="1">
      <alignment vertical="center" wrapText="1"/>
      <protection/>
    </xf>
    <xf numFmtId="0" fontId="5" fillId="0" borderId="0" xfId="356" applyFont="1" applyAlignment="1">
      <alignment vertical="center" wrapText="1"/>
      <protection/>
    </xf>
    <xf numFmtId="0" fontId="6" fillId="0" borderId="0" xfId="157" applyFont="1" applyAlignment="1">
      <alignment vertical="center"/>
      <protection/>
    </xf>
    <xf numFmtId="0" fontId="5" fillId="0" borderId="0" xfId="120" applyFont="1" applyAlignment="1">
      <alignment vertical="center"/>
      <protection/>
    </xf>
    <xf numFmtId="0" fontId="5" fillId="0" borderId="0" xfId="121" applyFont="1" applyAlignment="1">
      <alignment vertical="center"/>
      <protection/>
    </xf>
    <xf numFmtId="37" fontId="5" fillId="40" borderId="0" xfId="0" applyNumberFormat="1" applyFont="1" applyFill="1" applyAlignment="1" applyProtection="1">
      <alignment horizontal="center" vertical="center"/>
      <protection/>
    </xf>
    <xf numFmtId="0" fontId="0" fillId="40" borderId="0" xfId="0" applyFill="1" applyBorder="1" applyAlignment="1" applyProtection="1">
      <alignment horizontal="left" vertical="center"/>
      <protection locked="0"/>
    </xf>
    <xf numFmtId="37" fontId="4" fillId="34" borderId="17"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0" fontId="0" fillId="39" borderId="16" xfId="0" applyFill="1" applyBorder="1" applyAlignment="1" applyProtection="1">
      <alignment vertical="center"/>
      <protection/>
    </xf>
    <xf numFmtId="0" fontId="17" fillId="39" borderId="21" xfId="0"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horizontal="left" vertical="center"/>
      <protection locked="0"/>
    </xf>
    <xf numFmtId="37" fontId="4" fillId="34" borderId="12" xfId="0" applyNumberFormat="1" applyFont="1" applyFill="1" applyBorder="1" applyAlignment="1" applyProtection="1">
      <alignment horizontal="left" vertical="center"/>
      <protection/>
    </xf>
    <xf numFmtId="164" fontId="5" fillId="34" borderId="0" xfId="0" applyNumberFormat="1" applyFont="1" applyFill="1" applyBorder="1" applyAlignment="1" applyProtection="1">
      <alignment horizontal="center" vertical="center"/>
      <protection/>
    </xf>
    <xf numFmtId="49" fontId="5" fillId="40" borderId="0" xfId="0" applyNumberFormat="1" applyFont="1" applyFill="1" applyBorder="1" applyAlignment="1" applyProtection="1">
      <alignment horizontal="left" vertical="center"/>
      <protection locked="0"/>
    </xf>
    <xf numFmtId="37" fontId="5" fillId="34" borderId="0" xfId="0" applyNumberFormat="1" applyFont="1" applyFill="1" applyBorder="1" applyAlignment="1" applyProtection="1">
      <alignment horizontal="right" vertical="center"/>
      <protection/>
    </xf>
    <xf numFmtId="3" fontId="5" fillId="42" borderId="40" xfId="0" applyNumberFormat="1" applyFont="1" applyFill="1" applyBorder="1" applyAlignment="1" applyProtection="1">
      <alignment horizontal="center" vertical="center"/>
      <protection/>
    </xf>
    <xf numFmtId="164" fontId="5" fillId="42" borderId="40" xfId="0" applyNumberFormat="1" applyFont="1" applyFill="1" applyBorder="1" applyAlignment="1" applyProtection="1">
      <alignment horizontal="center" vertical="center"/>
      <protection/>
    </xf>
    <xf numFmtId="3" fontId="5" fillId="33" borderId="16" xfId="42" applyNumberFormat="1" applyFont="1" applyFill="1" applyBorder="1" applyAlignment="1" applyProtection="1">
      <alignment horizontal="center" vertical="center"/>
      <protection locked="0"/>
    </xf>
    <xf numFmtId="3" fontId="5" fillId="33" borderId="10" xfId="42" applyNumberFormat="1" applyFont="1" applyFill="1" applyBorder="1" applyAlignment="1" applyProtection="1">
      <alignment horizontal="center" vertical="center"/>
      <protection locked="0"/>
    </xf>
    <xf numFmtId="1" fontId="8" fillId="34" borderId="14" xfId="0" applyNumberFormat="1" applyFont="1" applyFill="1" applyBorder="1" applyAlignment="1" applyProtection="1">
      <alignment horizontal="center" vertical="center"/>
      <protection/>
    </xf>
    <xf numFmtId="37" fontId="8" fillId="34" borderId="1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protection/>
    </xf>
    <xf numFmtId="37" fontId="8" fillId="40" borderId="41" xfId="0" applyNumberFormat="1" applyFont="1" applyFill="1" applyBorder="1" applyAlignment="1" applyProtection="1">
      <alignment horizontal="center" vertical="center"/>
      <protection/>
    </xf>
    <xf numFmtId="0" fontId="92" fillId="40" borderId="30" xfId="0" applyFont="1" applyFill="1" applyBorder="1" applyAlignment="1">
      <alignment horizontal="centerContinuous" vertical="center"/>
    </xf>
    <xf numFmtId="194" fontId="92" fillId="40" borderId="0" xfId="0" applyNumberFormat="1" applyFont="1" applyFill="1" applyBorder="1" applyAlignment="1">
      <alignment horizontal="centerContinuous" vertical="center"/>
    </xf>
    <xf numFmtId="0" fontId="92" fillId="40" borderId="0" xfId="0" applyFont="1" applyFill="1" applyBorder="1" applyAlignment="1">
      <alignment horizontal="centerContinuous" vertical="center"/>
    </xf>
    <xf numFmtId="188" fontId="92" fillId="40" borderId="0" xfId="0" applyNumberFormat="1" applyFont="1" applyFill="1" applyBorder="1" applyAlignment="1" applyProtection="1">
      <alignment horizontal="centerContinuous" vertical="center"/>
      <protection locked="0"/>
    </xf>
    <xf numFmtId="195" fontId="92" fillId="40" borderId="0" xfId="0" applyNumberFormat="1" applyFont="1" applyFill="1" applyBorder="1" applyAlignment="1">
      <alignment horizontal="centerContinuous" vertical="center"/>
    </xf>
    <xf numFmtId="0" fontId="92" fillId="40" borderId="37" xfId="0" applyFont="1" applyFill="1" applyBorder="1" applyAlignment="1">
      <alignment horizontal="centerContinuous" vertical="center"/>
    </xf>
    <xf numFmtId="0" fontId="92" fillId="40" borderId="30" xfId="0" applyFont="1" applyFill="1" applyBorder="1" applyAlignment="1">
      <alignment horizontal="centerContinuous"/>
    </xf>
    <xf numFmtId="194" fontId="92" fillId="40" borderId="0" xfId="0" applyNumberFormat="1" applyFont="1" applyFill="1" applyBorder="1" applyAlignment="1">
      <alignment horizontal="centerContinuous"/>
    </xf>
    <xf numFmtId="0" fontId="92" fillId="40" borderId="0" xfId="0" applyFont="1" applyFill="1" applyBorder="1" applyAlignment="1">
      <alignment horizontal="centerContinuous"/>
    </xf>
    <xf numFmtId="188" fontId="92" fillId="40" borderId="0" xfId="0" applyNumberFormat="1" applyFont="1" applyFill="1" applyBorder="1" applyAlignment="1" applyProtection="1">
      <alignment horizontal="centerContinuous"/>
      <protection locked="0"/>
    </xf>
    <xf numFmtId="195" fontId="92" fillId="40" borderId="0" xfId="0" applyNumberFormat="1" applyFont="1" applyFill="1" applyBorder="1" applyAlignment="1">
      <alignment horizontal="centerContinuous"/>
    </xf>
    <xf numFmtId="0" fontId="92" fillId="40" borderId="37" xfId="0" applyFont="1" applyFill="1" applyBorder="1" applyAlignment="1">
      <alignment horizontal="centerContinuous"/>
    </xf>
    <xf numFmtId="194" fontId="33" fillId="0" borderId="0" xfId="0" applyNumberFormat="1" applyFont="1" applyAlignment="1">
      <alignment/>
    </xf>
    <xf numFmtId="194" fontId="33" fillId="40" borderId="34" xfId="0" applyNumberFormat="1" applyFont="1" applyFill="1" applyBorder="1" applyAlignment="1">
      <alignment horizontal="center"/>
    </xf>
    <xf numFmtId="188" fontId="33" fillId="40" borderId="34" xfId="0" applyNumberFormat="1" applyFont="1" applyFill="1" applyBorder="1" applyAlignment="1" applyProtection="1">
      <alignment horizontal="center"/>
      <protection locked="0"/>
    </xf>
    <xf numFmtId="195" fontId="33" fillId="40" borderId="34" xfId="0" applyNumberFormat="1" applyFont="1" applyFill="1" applyBorder="1" applyAlignment="1">
      <alignment/>
    </xf>
    <xf numFmtId="188" fontId="33" fillId="40" borderId="0" xfId="0" applyNumberFormat="1" applyFont="1" applyFill="1" applyBorder="1" applyAlignment="1" applyProtection="1">
      <alignment horizontal="center"/>
      <protection locked="0"/>
    </xf>
    <xf numFmtId="194" fontId="33" fillId="40" borderId="35" xfId="0" applyNumberFormat="1" applyFont="1" applyFill="1" applyBorder="1" applyAlignment="1">
      <alignment horizontal="center"/>
    </xf>
    <xf numFmtId="0" fontId="33" fillId="40" borderId="35" xfId="0" applyFont="1" applyFill="1" applyBorder="1" applyAlignment="1">
      <alignment horizontal="center"/>
    </xf>
    <xf numFmtId="188" fontId="33" fillId="40" borderId="35" xfId="0" applyNumberFormat="1" applyFont="1" applyFill="1" applyBorder="1" applyAlignment="1" applyProtection="1">
      <alignment horizontal="center"/>
      <protection locked="0"/>
    </xf>
    <xf numFmtId="195" fontId="33" fillId="40" borderId="35" xfId="0" applyNumberFormat="1" applyFont="1" applyFill="1" applyBorder="1" applyAlignment="1">
      <alignment/>
    </xf>
    <xf numFmtId="194" fontId="33" fillId="40" borderId="0" xfId="0" applyNumberFormat="1" applyFont="1" applyFill="1" applyBorder="1" applyAlignment="1" applyProtection="1">
      <alignment horizontal="center"/>
      <protection locked="0"/>
    </xf>
    <xf numFmtId="194" fontId="5" fillId="43" borderId="23" xfId="116" applyNumberFormat="1" applyFont="1" applyFill="1" applyBorder="1" applyAlignment="1" applyProtection="1">
      <alignment horizontal="center"/>
      <protection/>
    </xf>
    <xf numFmtId="0" fontId="5" fillId="43" borderId="18" xfId="0" applyFont="1" applyFill="1" applyBorder="1" applyAlignment="1">
      <alignment vertical="center"/>
    </xf>
    <xf numFmtId="0" fontId="5" fillId="43" borderId="17" xfId="0" applyFont="1" applyFill="1" applyBorder="1" applyAlignment="1">
      <alignment vertical="center"/>
    </xf>
    <xf numFmtId="194" fontId="5" fillId="43" borderId="21" xfId="0" applyNumberFormat="1" applyFont="1" applyFill="1" applyBorder="1" applyAlignment="1">
      <alignment horizontal="center" vertical="center"/>
    </xf>
    <xf numFmtId="194" fontId="33" fillId="40" borderId="0" xfId="0" applyNumberFormat="1" applyFont="1" applyFill="1" applyBorder="1" applyAlignment="1">
      <alignment horizontal="center"/>
    </xf>
    <xf numFmtId="0" fontId="33" fillId="40" borderId="22" xfId="0" applyFont="1" applyFill="1" applyBorder="1" applyAlignment="1">
      <alignment horizontal="center"/>
    </xf>
    <xf numFmtId="195" fontId="33" fillId="40" borderId="0" xfId="0" applyNumberFormat="1" applyFont="1" applyFill="1" applyBorder="1" applyAlignment="1">
      <alignment horizontal="center"/>
    </xf>
    <xf numFmtId="194" fontId="33" fillId="41" borderId="17" xfId="0" applyNumberFormat="1" applyFont="1" applyFill="1" applyBorder="1" applyAlignment="1" applyProtection="1">
      <alignment horizontal="center"/>
      <protection locked="0"/>
    </xf>
    <xf numFmtId="0" fontId="92" fillId="40" borderId="0" xfId="0" applyFont="1" applyFill="1" applyAlignment="1">
      <alignment horizontal="center" wrapText="1"/>
    </xf>
    <xf numFmtId="0" fontId="92" fillId="40" borderId="0" xfId="0" applyFont="1" applyFill="1" applyAlignment="1">
      <alignment horizontal="center"/>
    </xf>
    <xf numFmtId="0" fontId="33" fillId="40" borderId="0" xfId="0" applyFont="1" applyFill="1" applyBorder="1" applyAlignment="1">
      <alignment/>
    </xf>
    <xf numFmtId="0" fontId="33" fillId="40" borderId="0" xfId="0" applyFont="1" applyFill="1" applyBorder="1" applyAlignment="1">
      <alignment horizontal="center"/>
    </xf>
    <xf numFmtId="0" fontId="33" fillId="40" borderId="39" xfId="0" applyFont="1" applyFill="1" applyBorder="1" applyAlignment="1">
      <alignment/>
    </xf>
    <xf numFmtId="1" fontId="5" fillId="34" borderId="14" xfId="0" applyNumberFormat="1" applyFont="1" applyFill="1" applyBorder="1" applyAlignment="1" applyProtection="1">
      <alignment horizontal="center" vertical="center"/>
      <protection/>
    </xf>
    <xf numFmtId="37" fontId="5" fillId="34" borderId="14" xfId="0" applyNumberFormat="1" applyFont="1" applyFill="1" applyBorder="1" applyAlignment="1" applyProtection="1">
      <alignment horizontal="center" vertical="center"/>
      <protection/>
    </xf>
    <xf numFmtId="0" fontId="5" fillId="0" borderId="0" xfId="0" applyFont="1" applyBorder="1" applyAlignment="1">
      <alignment vertical="center"/>
    </xf>
    <xf numFmtId="37" fontId="8" fillId="40" borderId="41" xfId="0" applyNumberFormat="1" applyFont="1" applyFill="1" applyBorder="1" applyAlignment="1" applyProtection="1">
      <alignment horizontal="left" vertical="center"/>
      <protection/>
    </xf>
    <xf numFmtId="0" fontId="5" fillId="40" borderId="42" xfId="0" applyNumberFormat="1" applyFont="1" applyFill="1" applyBorder="1" applyAlignment="1" applyProtection="1">
      <alignment horizontal="left" vertical="center"/>
      <protection/>
    </xf>
    <xf numFmtId="1" fontId="5" fillId="40" borderId="42" xfId="0" applyNumberFormat="1" applyFont="1" applyFill="1" applyBorder="1" applyAlignment="1" applyProtection="1">
      <alignment horizontal="center" vertical="center"/>
      <protection/>
    </xf>
    <xf numFmtId="0" fontId="4" fillId="0" borderId="0" xfId="87" applyFont="1" applyFill="1" applyAlignment="1" applyProtection="1">
      <alignment vertical="center"/>
      <protection/>
    </xf>
    <xf numFmtId="0" fontId="5" fillId="40" borderId="0" xfId="97" applyFont="1" applyFill="1">
      <alignment/>
      <protection/>
    </xf>
    <xf numFmtId="0" fontId="0" fillId="0" borderId="0" xfId="97">
      <alignment/>
      <protection/>
    </xf>
    <xf numFmtId="0" fontId="5" fillId="40" borderId="0" xfId="97" applyFont="1" applyFill="1" applyAlignment="1">
      <alignment vertical="center"/>
      <protection/>
    </xf>
    <xf numFmtId="37" fontId="5" fillId="40" borderId="0" xfId="97" applyNumberFormat="1" applyFont="1" applyFill="1" applyAlignment="1">
      <alignment vertical="center"/>
      <protection/>
    </xf>
    <xf numFmtId="0" fontId="5" fillId="40" borderId="17" xfId="97" applyFont="1" applyFill="1" applyBorder="1" applyAlignment="1">
      <alignment vertical="center"/>
      <protection/>
    </xf>
    <xf numFmtId="0" fontId="5" fillId="40" borderId="0" xfId="97" applyFont="1" applyFill="1" applyAlignment="1">
      <alignment horizontal="center" vertical="center"/>
      <protection/>
    </xf>
    <xf numFmtId="0" fontId="6" fillId="40" borderId="0" xfId="97" applyFont="1" applyFill="1" applyAlignment="1">
      <alignment horizontal="center" vertical="center"/>
      <protection/>
    </xf>
    <xf numFmtId="194" fontId="5" fillId="40" borderId="0" xfId="97" applyNumberFormat="1" applyFont="1" applyFill="1" applyAlignment="1">
      <alignment vertical="center"/>
      <protection/>
    </xf>
    <xf numFmtId="194" fontId="5" fillId="40" borderId="22" xfId="97" applyNumberFormat="1" applyFont="1" applyFill="1" applyBorder="1" applyAlignment="1">
      <alignment vertical="center"/>
      <protection/>
    </xf>
    <xf numFmtId="6" fontId="5" fillId="40" borderId="0" xfId="97" applyNumberFormat="1" applyFont="1" applyFill="1" applyBorder="1" applyAlignment="1">
      <alignment vertical="center"/>
      <protection/>
    </xf>
    <xf numFmtId="194" fontId="5" fillId="40" borderId="0" xfId="97" applyNumberFormat="1" applyFont="1" applyFill="1" applyBorder="1" applyAlignment="1">
      <alignment vertical="center"/>
      <protection/>
    </xf>
    <xf numFmtId="0" fontId="96" fillId="43" borderId="0" xfId="97" applyFont="1" applyFill="1" applyAlignment="1">
      <alignment vertical="center"/>
      <protection/>
    </xf>
    <xf numFmtId="0" fontId="96" fillId="40" borderId="0" xfId="97" applyFont="1" applyFill="1" applyAlignment="1">
      <alignment horizontal="center" vertical="center"/>
      <protection/>
    </xf>
    <xf numFmtId="188" fontId="5" fillId="40" borderId="0" xfId="97" applyNumberFormat="1" applyFont="1" applyFill="1" applyAlignment="1">
      <alignment horizontal="center" vertical="center"/>
      <protection/>
    </xf>
    <xf numFmtId="198" fontId="96" fillId="40" borderId="0" xfId="97" applyNumberFormat="1" applyFont="1" applyFill="1" applyAlignment="1">
      <alignment horizontal="center" vertical="center"/>
      <protection/>
    </xf>
    <xf numFmtId="0" fontId="96" fillId="43" borderId="0" xfId="97" applyFont="1" applyFill="1" applyAlignment="1">
      <alignment horizontal="center" vertical="center"/>
      <protection/>
    </xf>
    <xf numFmtId="0" fontId="97" fillId="43" borderId="0" xfId="97" applyFont="1" applyFill="1" applyAlignment="1">
      <alignment horizontal="center" vertical="center"/>
      <protection/>
    </xf>
    <xf numFmtId="0" fontId="5" fillId="40" borderId="0" xfId="97" applyFont="1" applyFill="1" applyAlignment="1">
      <alignment horizontal="right" vertical="center"/>
      <protection/>
    </xf>
    <xf numFmtId="0" fontId="5" fillId="40" borderId="0" xfId="97" applyFont="1" applyFill="1" applyAlignment="1">
      <alignment horizontal="left" vertical="center"/>
      <protection/>
    </xf>
    <xf numFmtId="0" fontId="5" fillId="40" borderId="0" xfId="89" applyFont="1" applyFill="1">
      <alignment/>
      <protection/>
    </xf>
    <xf numFmtId="0" fontId="0" fillId="40" borderId="0" xfId="97" applyFill="1">
      <alignment/>
      <protection/>
    </xf>
    <xf numFmtId="0" fontId="4" fillId="40" borderId="0" xfId="89" applyFont="1" applyFill="1">
      <alignment/>
      <protection/>
    </xf>
    <xf numFmtId="0" fontId="0" fillId="40" borderId="0" xfId="89" applyFill="1">
      <alignment/>
      <protection/>
    </xf>
    <xf numFmtId="0" fontId="11" fillId="0" borderId="0" xfId="68" applyAlignment="1" applyProtection="1">
      <alignment/>
      <protection/>
    </xf>
    <xf numFmtId="0" fontId="4" fillId="34" borderId="0" xfId="0" applyFont="1" applyFill="1" applyAlignment="1" applyProtection="1">
      <alignment horizontal="right" vertical="center"/>
      <protection/>
    </xf>
    <xf numFmtId="0" fontId="5" fillId="34" borderId="12" xfId="0" applyFont="1" applyFill="1" applyBorder="1" applyAlignment="1" applyProtection="1">
      <alignment/>
      <protection/>
    </xf>
    <xf numFmtId="49" fontId="5" fillId="33" borderId="10" xfId="0" applyNumberFormat="1" applyFont="1" applyFill="1" applyBorder="1" applyAlignment="1" applyProtection="1">
      <alignment horizontal="center" vertical="center"/>
      <protection locked="0"/>
    </xf>
    <xf numFmtId="178" fontId="5" fillId="34" borderId="19" xfId="0" applyNumberFormat="1" applyFont="1" applyFill="1" applyBorder="1" applyAlignment="1" applyProtection="1">
      <alignment vertical="center"/>
      <protection/>
    </xf>
    <xf numFmtId="0" fontId="0" fillId="34" borderId="20" xfId="0" applyFill="1" applyBorder="1" applyAlignment="1" applyProtection="1">
      <alignment vertical="center"/>
      <protection/>
    </xf>
    <xf numFmtId="37" fontId="5" fillId="40" borderId="0" xfId="0" applyNumberFormat="1" applyFont="1" applyFill="1" applyBorder="1" applyAlignment="1" applyProtection="1">
      <alignment horizontal="left" vertical="center"/>
      <protection/>
    </xf>
    <xf numFmtId="199" fontId="5" fillId="33" borderId="10" xfId="0" applyNumberFormat="1" applyFont="1" applyFill="1" applyBorder="1" applyAlignment="1" applyProtection="1">
      <alignment horizontal="center" vertical="center"/>
      <protection locked="0"/>
    </xf>
    <xf numFmtId="49" fontId="5" fillId="0" borderId="0" xfId="541" applyNumberFormat="1" applyFont="1" applyFill="1" applyAlignment="1" applyProtection="1">
      <alignment horizontal="left" vertical="center"/>
      <protection locked="0"/>
    </xf>
    <xf numFmtId="0" fontId="0" fillId="0" borderId="0" xfId="86">
      <alignment/>
      <protection/>
    </xf>
    <xf numFmtId="0" fontId="98" fillId="0" borderId="0" xfId="86" applyFont="1">
      <alignment/>
      <protection/>
    </xf>
    <xf numFmtId="0" fontId="5" fillId="0" borderId="0" xfId="86" applyFont="1">
      <alignment/>
      <protection/>
    </xf>
    <xf numFmtId="0" fontId="96" fillId="0" borderId="0" xfId="541" applyFont="1" applyAlignment="1">
      <alignment horizontal="left" vertical="center"/>
      <protection/>
    </xf>
    <xf numFmtId="0" fontId="99" fillId="0" borderId="0" xfId="541" applyFont="1">
      <alignment/>
      <protection/>
    </xf>
    <xf numFmtId="189" fontId="100" fillId="0" borderId="0" xfId="541" applyNumberFormat="1" applyFont="1" applyAlignment="1">
      <alignment horizontal="left" vertical="center"/>
      <protection/>
    </xf>
    <xf numFmtId="0" fontId="100" fillId="0" borderId="0" xfId="541" applyNumberFormat="1" applyFont="1" applyAlignment="1">
      <alignment horizontal="left" vertical="center"/>
      <protection/>
    </xf>
    <xf numFmtId="1" fontId="100" fillId="0" borderId="0" xfId="541" applyNumberFormat="1" applyFont="1" applyAlignment="1">
      <alignment horizontal="left" vertical="center"/>
      <protection/>
    </xf>
    <xf numFmtId="0" fontId="101" fillId="0" borderId="0" xfId="541" applyFont="1" applyAlignment="1">
      <alignment horizontal="left" vertical="center"/>
      <protection/>
    </xf>
    <xf numFmtId="0" fontId="22" fillId="0" borderId="0" xfId="0" applyNumberFormat="1" applyFont="1" applyFill="1" applyBorder="1" applyAlignment="1" applyProtection="1">
      <alignment horizontal="center" vertical="center"/>
      <protection/>
    </xf>
    <xf numFmtId="0" fontId="25" fillId="0" borderId="0" xfId="0" applyFont="1" applyAlignment="1">
      <alignment wrapText="1"/>
    </xf>
    <xf numFmtId="0" fontId="23"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95" fillId="0" borderId="0" xfId="0" applyFont="1" applyAlignment="1">
      <alignment wrapText="1"/>
    </xf>
    <xf numFmtId="0" fontId="24" fillId="0" borderId="0" xfId="0" applyNumberFormat="1" applyFont="1" applyFill="1" applyBorder="1" applyAlignment="1" applyProtection="1">
      <alignment vertical="center" wrapText="1"/>
      <protection/>
    </xf>
    <xf numFmtId="0" fontId="4" fillId="0" borderId="0" xfId="0" applyFont="1" applyAlignment="1">
      <alignment wrapText="1"/>
    </xf>
    <xf numFmtId="0" fontId="26" fillId="0" borderId="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0" fontId="5" fillId="34" borderId="0" xfId="0" applyFont="1" applyFill="1" applyBorder="1" applyAlignment="1" applyProtection="1">
      <alignment horizontal="left" vertical="center"/>
      <protection/>
    </xf>
    <xf numFmtId="3" fontId="5" fillId="40" borderId="0" xfId="42" applyNumberFormat="1" applyFont="1" applyFill="1" applyBorder="1" applyAlignment="1" applyProtection="1">
      <alignment vertical="center"/>
      <protection/>
    </xf>
    <xf numFmtId="0" fontId="0" fillId="40" borderId="0" xfId="0" applyFill="1" applyBorder="1" applyAlignment="1" applyProtection="1">
      <alignment horizontal="center" vertical="center"/>
      <protection/>
    </xf>
    <xf numFmtId="37" fontId="5" fillId="34" borderId="0" xfId="0" applyNumberFormat="1" applyFont="1" applyFill="1" applyBorder="1" applyAlignment="1" applyProtection="1">
      <alignment horizontal="fill" vertical="center"/>
      <protection locked="0"/>
    </xf>
    <xf numFmtId="37" fontId="5" fillId="34" borderId="0" xfId="0" applyNumberFormat="1" applyFont="1" applyFill="1" applyBorder="1" applyAlignment="1" applyProtection="1">
      <alignment horizontal="centerContinuous" vertical="center"/>
      <protection/>
    </xf>
    <xf numFmtId="37" fontId="5" fillId="34" borderId="0" xfId="0" applyNumberFormat="1" applyFont="1" applyFill="1" applyBorder="1" applyAlignment="1" applyProtection="1">
      <alignment horizontal="center" vertical="center"/>
      <protection locked="0"/>
    </xf>
    <xf numFmtId="0" fontId="5" fillId="40" borderId="38" xfId="115" applyFont="1" applyFill="1" applyBorder="1" applyAlignment="1" applyProtection="1">
      <alignment vertical="center"/>
      <protection/>
    </xf>
    <xf numFmtId="0" fontId="5" fillId="40" borderId="0" xfId="115" applyFont="1" applyFill="1" applyBorder="1" applyAlignment="1" applyProtection="1">
      <alignment vertical="center"/>
      <protection/>
    </xf>
    <xf numFmtId="0" fontId="5" fillId="40" borderId="23" xfId="115" applyFont="1" applyFill="1" applyBorder="1" applyAlignment="1" applyProtection="1">
      <alignment vertical="center"/>
      <protection/>
    </xf>
    <xf numFmtId="0" fontId="32" fillId="40" borderId="38" xfId="115" applyFont="1" applyFill="1" applyBorder="1" applyAlignment="1" applyProtection="1">
      <alignment horizontal="left" vertical="center"/>
      <protection/>
    </xf>
    <xf numFmtId="0" fontId="32" fillId="40" borderId="0" xfId="115" applyFont="1" applyFill="1" applyBorder="1" applyAlignment="1" applyProtection="1">
      <alignment vertical="center"/>
      <protection/>
    </xf>
    <xf numFmtId="194" fontId="32" fillId="41" borderId="10" xfId="115" applyNumberFormat="1" applyFont="1" applyFill="1" applyBorder="1" applyAlignment="1" applyProtection="1">
      <alignment horizontal="center" vertical="center"/>
      <protection locked="0"/>
    </xf>
    <xf numFmtId="0" fontId="32" fillId="40" borderId="38" xfId="115" applyFont="1" applyFill="1" applyBorder="1" applyAlignment="1" applyProtection="1">
      <alignment vertical="center"/>
      <protection/>
    </xf>
    <xf numFmtId="0" fontId="5" fillId="40" borderId="0" xfId="115" applyFont="1" applyFill="1" applyBorder="1" applyAlignment="1" applyProtection="1">
      <alignment vertical="center"/>
      <protection locked="0"/>
    </xf>
    <xf numFmtId="0" fontId="32" fillId="40" borderId="0" xfId="115" applyFont="1" applyFill="1" applyBorder="1" applyAlignment="1" applyProtection="1">
      <alignment vertical="center"/>
      <protection locked="0"/>
    </xf>
    <xf numFmtId="188" fontId="32" fillId="40" borderId="19" xfId="115" applyNumberFormat="1" applyFont="1" applyFill="1" applyBorder="1" applyAlignment="1" applyProtection="1">
      <alignment horizontal="center" vertical="center"/>
      <protection locked="0"/>
    </xf>
    <xf numFmtId="0" fontId="38" fillId="43" borderId="38" xfId="115" applyFont="1" applyFill="1" applyBorder="1" applyAlignment="1" applyProtection="1">
      <alignment vertical="center"/>
      <protection locked="0"/>
    </xf>
    <xf numFmtId="0" fontId="5" fillId="43" borderId="0" xfId="115" applyFont="1" applyFill="1" applyBorder="1" applyAlignment="1" applyProtection="1">
      <alignment vertical="center"/>
      <protection locked="0"/>
    </xf>
    <xf numFmtId="0" fontId="32" fillId="43" borderId="0" xfId="115" applyFont="1" applyFill="1" applyBorder="1" applyAlignment="1" applyProtection="1">
      <alignment vertical="center"/>
      <protection locked="0"/>
    </xf>
    <xf numFmtId="194" fontId="38" fillId="43" borderId="19" xfId="115" applyNumberFormat="1" applyFont="1" applyFill="1" applyBorder="1" applyAlignment="1" applyProtection="1">
      <alignment horizontal="center" vertical="center"/>
      <protection locked="0"/>
    </xf>
    <xf numFmtId="37" fontId="32" fillId="34" borderId="18" xfId="0" applyNumberFormat="1" applyFont="1" applyFill="1" applyBorder="1" applyAlignment="1" applyProtection="1">
      <alignment horizontal="left" vertical="center"/>
      <protection/>
    </xf>
    <xf numFmtId="0" fontId="5" fillId="40" borderId="17" xfId="0" applyFont="1" applyFill="1" applyBorder="1" applyAlignment="1" applyProtection="1">
      <alignment vertical="center"/>
      <protection locked="0"/>
    </xf>
    <xf numFmtId="194" fontId="38" fillId="43" borderId="21" xfId="0" applyNumberFormat="1" applyFont="1" applyFill="1" applyBorder="1" applyAlignment="1" applyProtection="1">
      <alignment horizontal="center" vertical="center"/>
      <protection locked="0"/>
    </xf>
    <xf numFmtId="194" fontId="32" fillId="40" borderId="38" xfId="115" applyNumberFormat="1" applyFont="1" applyFill="1" applyBorder="1" applyAlignment="1" applyProtection="1">
      <alignment horizontal="center" vertical="center"/>
      <protection/>
    </xf>
    <xf numFmtId="0" fontId="32" fillId="40" borderId="0" xfId="115" applyFont="1" applyFill="1" applyBorder="1" applyAlignment="1" applyProtection="1">
      <alignment horizontal="left" vertical="center"/>
      <protection/>
    </xf>
    <xf numFmtId="0" fontId="32" fillId="40" borderId="23" xfId="115" applyFont="1" applyFill="1" applyBorder="1" applyAlignment="1" applyProtection="1">
      <alignment vertical="center"/>
      <protection/>
    </xf>
    <xf numFmtId="194" fontId="32" fillId="40" borderId="18" xfId="115" applyNumberFormat="1" applyFont="1" applyFill="1" applyBorder="1" applyAlignment="1" applyProtection="1">
      <alignment horizontal="center" vertical="center"/>
      <protection/>
    </xf>
    <xf numFmtId="0" fontId="93" fillId="0" borderId="0" xfId="0" applyFont="1" applyAlignment="1" applyProtection="1">
      <alignment/>
      <protection locked="0"/>
    </xf>
    <xf numFmtId="0" fontId="41" fillId="0" borderId="0" xfId="0" applyFont="1" applyAlignment="1" applyProtection="1">
      <alignment vertical="center"/>
      <protection/>
    </xf>
    <xf numFmtId="194" fontId="32" fillId="40" borderId="38" xfId="115" applyNumberFormat="1" applyFont="1" applyFill="1" applyBorder="1" applyAlignment="1" applyProtection="1">
      <alignment vertical="center"/>
      <protection/>
    </xf>
    <xf numFmtId="194" fontId="38" fillId="43" borderId="18" xfId="115" applyNumberFormat="1" applyFont="1" applyFill="1" applyBorder="1" applyAlignment="1" applyProtection="1">
      <alignment horizontal="center" vertical="center"/>
      <protection/>
    </xf>
    <xf numFmtId="0" fontId="38" fillId="43" borderId="17" xfId="115" applyFont="1" applyFill="1" applyBorder="1" applyAlignment="1" applyProtection="1">
      <alignment vertical="center"/>
      <protection/>
    </xf>
    <xf numFmtId="0" fontId="32" fillId="43" borderId="21" xfId="115" applyFont="1" applyFill="1" applyBorder="1" applyAlignment="1" applyProtection="1">
      <alignment vertical="center"/>
      <protection/>
    </xf>
    <xf numFmtId="0" fontId="5" fillId="43" borderId="21" xfId="115" applyFont="1" applyFill="1" applyBorder="1" applyAlignment="1" applyProtection="1">
      <alignment vertical="center"/>
      <protection/>
    </xf>
    <xf numFmtId="188" fontId="32" fillId="40" borderId="38" xfId="0" applyNumberFormat="1" applyFont="1" applyFill="1" applyBorder="1" applyAlignment="1" applyProtection="1">
      <alignment horizontal="center" vertical="center"/>
      <protection/>
    </xf>
    <xf numFmtId="0" fontId="32" fillId="40" borderId="0" xfId="0" applyFont="1" applyFill="1" applyBorder="1" applyAlignment="1" applyProtection="1">
      <alignment horizontal="left" vertical="center"/>
      <protection/>
    </xf>
    <xf numFmtId="0" fontId="37" fillId="40" borderId="0" xfId="0" applyFont="1" applyFill="1" applyBorder="1" applyAlignment="1" applyProtection="1">
      <alignment horizontal="center" vertical="center"/>
      <protection/>
    </xf>
    <xf numFmtId="0" fontId="0" fillId="40" borderId="23" xfId="0" applyFill="1" applyBorder="1" applyAlignment="1" applyProtection="1">
      <alignment vertical="center"/>
      <protection/>
    </xf>
    <xf numFmtId="188" fontId="32" fillId="43" borderId="18" xfId="0" applyNumberFormat="1" applyFont="1" applyFill="1" applyBorder="1" applyAlignment="1" applyProtection="1">
      <alignment horizontal="center" vertical="center"/>
      <protection/>
    </xf>
    <xf numFmtId="188" fontId="32" fillId="40" borderId="11" xfId="0" applyNumberFormat="1" applyFont="1" applyFill="1" applyBorder="1" applyAlignment="1" applyProtection="1">
      <alignment horizontal="center" vertical="center"/>
      <protection/>
    </xf>
    <xf numFmtId="188" fontId="32" fillId="43" borderId="11" xfId="0" applyNumberFormat="1" applyFont="1" applyFill="1" applyBorder="1" applyAlignment="1" applyProtection="1">
      <alignment horizontal="center" vertical="center"/>
      <protection/>
    </xf>
    <xf numFmtId="0" fontId="32" fillId="40" borderId="17" xfId="0" applyFont="1" applyFill="1" applyBorder="1" applyAlignment="1" applyProtection="1">
      <alignment horizontal="left" vertical="center"/>
      <protection/>
    </xf>
    <xf numFmtId="0" fontId="37" fillId="40" borderId="17" xfId="0" applyFont="1" applyFill="1" applyBorder="1" applyAlignment="1" applyProtection="1">
      <alignment horizontal="center" vertical="center"/>
      <protection/>
    </xf>
    <xf numFmtId="0" fontId="0" fillId="40" borderId="21" xfId="0" applyFill="1" applyBorder="1" applyAlignment="1" applyProtection="1">
      <alignment vertical="center"/>
      <protection/>
    </xf>
    <xf numFmtId="0" fontId="32" fillId="0" borderId="0" xfId="87" applyFont="1" applyFill="1" applyBorder="1" applyAlignment="1" applyProtection="1">
      <alignment horizontal="left" vertical="center"/>
      <protection/>
    </xf>
    <xf numFmtId="0" fontId="32" fillId="0" borderId="0" xfId="87" applyFont="1" applyFill="1" applyBorder="1" applyAlignment="1" applyProtection="1">
      <alignment vertical="center"/>
      <protection/>
    </xf>
    <xf numFmtId="194" fontId="32" fillId="0" borderId="0" xfId="87" applyNumberFormat="1" applyFont="1" applyFill="1" applyBorder="1" applyAlignment="1" applyProtection="1">
      <alignment horizontal="center" vertical="center"/>
      <protection locked="0"/>
    </xf>
    <xf numFmtId="0" fontId="32" fillId="40" borderId="38" xfId="0" applyFont="1" applyFill="1" applyBorder="1" applyAlignment="1" applyProtection="1">
      <alignment vertical="center"/>
      <protection/>
    </xf>
    <xf numFmtId="0" fontId="32" fillId="40" borderId="0" xfId="0" applyFont="1" applyFill="1" applyBorder="1" applyAlignment="1" applyProtection="1">
      <alignment vertical="center"/>
      <protection/>
    </xf>
    <xf numFmtId="194" fontId="32" fillId="40" borderId="23" xfId="0" applyNumberFormat="1" applyFont="1" applyFill="1" applyBorder="1" applyAlignment="1" applyProtection="1">
      <alignment horizontal="center" vertical="center"/>
      <protection/>
    </xf>
    <xf numFmtId="0" fontId="32" fillId="40" borderId="38" xfId="0" applyFont="1" applyFill="1" applyBorder="1" applyAlignment="1" applyProtection="1">
      <alignment horizontal="left" vertical="center"/>
      <protection/>
    </xf>
    <xf numFmtId="194" fontId="32" fillId="41" borderId="10" xfId="0" applyNumberFormat="1" applyFont="1" applyFill="1" applyBorder="1" applyAlignment="1" applyProtection="1">
      <alignment horizontal="center" vertical="center"/>
      <protection locked="0"/>
    </xf>
    <xf numFmtId="188" fontId="38" fillId="40" borderId="19" xfId="89" applyNumberFormat="1" applyFont="1" applyFill="1" applyBorder="1" applyAlignment="1" applyProtection="1">
      <alignment horizontal="center" vertical="center"/>
      <protection/>
    </xf>
    <xf numFmtId="0" fontId="38" fillId="43" borderId="38"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2" fillId="43" borderId="0" xfId="0" applyFont="1" applyFill="1" applyBorder="1" applyAlignment="1" applyProtection="1">
      <alignment vertical="center"/>
      <protection/>
    </xf>
    <xf numFmtId="194" fontId="38" fillId="43" borderId="19" xfId="0" applyNumberFormat="1" applyFont="1" applyFill="1" applyBorder="1" applyAlignment="1" applyProtection="1">
      <alignment horizontal="center" vertical="center"/>
      <protection/>
    </xf>
    <xf numFmtId="0" fontId="42" fillId="40" borderId="17" xfId="0" applyFont="1" applyFill="1" applyBorder="1" applyAlignment="1">
      <alignment horizontal="left" vertical="center"/>
    </xf>
    <xf numFmtId="0" fontId="5" fillId="34" borderId="23" xfId="68" applyNumberFormat="1" applyFont="1" applyFill="1" applyBorder="1" applyAlignment="1" applyProtection="1">
      <alignment horizontal="right" vertical="center"/>
      <protection/>
    </xf>
    <xf numFmtId="194" fontId="13" fillId="40" borderId="38" xfId="115" applyNumberFormat="1" applyFont="1" applyFill="1" applyBorder="1" applyAlignment="1" applyProtection="1">
      <alignment horizontal="center" vertical="center"/>
      <protection/>
    </xf>
    <xf numFmtId="0" fontId="13" fillId="40" borderId="0" xfId="115" applyFont="1" applyFill="1" applyBorder="1" applyAlignment="1" applyProtection="1">
      <alignment horizontal="left" vertical="center"/>
      <protection/>
    </xf>
    <xf numFmtId="0" fontId="13" fillId="40" borderId="0" xfId="115" applyFont="1" applyFill="1" applyBorder="1" applyAlignment="1" applyProtection="1">
      <alignment vertical="center"/>
      <protection/>
    </xf>
    <xf numFmtId="194" fontId="13" fillId="40" borderId="18" xfId="115" applyNumberFormat="1" applyFont="1" applyFill="1" applyBorder="1" applyAlignment="1" applyProtection="1">
      <alignment horizontal="center" vertical="center"/>
      <protection/>
    </xf>
    <xf numFmtId="0" fontId="93" fillId="0" borderId="0" xfId="0" applyFont="1" applyAlignment="1" applyProtection="1">
      <alignment vertical="center"/>
      <protection locked="0"/>
    </xf>
    <xf numFmtId="194" fontId="13" fillId="40" borderId="38" xfId="115" applyNumberFormat="1" applyFont="1" applyFill="1" applyBorder="1" applyAlignment="1" applyProtection="1">
      <alignment vertical="center"/>
      <protection/>
    </xf>
    <xf numFmtId="194" fontId="13" fillId="43" borderId="18" xfId="115" applyNumberFormat="1" applyFont="1" applyFill="1" applyBorder="1" applyAlignment="1" applyProtection="1">
      <alignment horizontal="center" vertical="center"/>
      <protection/>
    </xf>
    <xf numFmtId="0" fontId="13" fillId="43" borderId="17" xfId="115" applyFont="1" applyFill="1" applyBorder="1" applyAlignment="1" applyProtection="1">
      <alignment vertical="center"/>
      <protection/>
    </xf>
    <xf numFmtId="0" fontId="5" fillId="43" borderId="21" xfId="0" applyFont="1" applyFill="1" applyBorder="1" applyAlignment="1" applyProtection="1">
      <alignment vertical="center"/>
      <protection locked="0"/>
    </xf>
    <xf numFmtId="188" fontId="38" fillId="40" borderId="19" xfId="0" applyNumberFormat="1" applyFont="1" applyFill="1" applyBorder="1" applyAlignment="1" applyProtection="1">
      <alignment horizontal="center" vertical="center"/>
      <protection/>
    </xf>
    <xf numFmtId="0" fontId="5" fillId="40" borderId="23" xfId="0" applyFont="1" applyFill="1" applyBorder="1" applyAlignment="1" applyProtection="1">
      <alignment/>
      <protection locked="0"/>
    </xf>
    <xf numFmtId="194" fontId="32" fillId="40" borderId="38" xfId="0" applyNumberFormat="1" applyFont="1" applyFill="1" applyBorder="1" applyAlignment="1" applyProtection="1">
      <alignment horizontal="center" vertical="center"/>
      <protection/>
    </xf>
    <xf numFmtId="0" fontId="32" fillId="40" borderId="23" xfId="0" applyFont="1" applyFill="1" applyBorder="1" applyAlignment="1" applyProtection="1">
      <alignment vertical="center"/>
      <protection/>
    </xf>
    <xf numFmtId="194" fontId="32" fillId="40" borderId="18" xfId="0" applyNumberFormat="1" applyFont="1" applyFill="1" applyBorder="1" applyAlignment="1" applyProtection="1">
      <alignment horizontal="center" vertical="center"/>
      <protection/>
    </xf>
    <xf numFmtId="0" fontId="5" fillId="40" borderId="23" xfId="0" applyFont="1" applyFill="1" applyBorder="1" applyAlignment="1" applyProtection="1">
      <alignment vertical="center"/>
      <protection locked="0"/>
    </xf>
    <xf numFmtId="194" fontId="32" fillId="40" borderId="38" xfId="0" applyNumberFormat="1" applyFont="1" applyFill="1" applyBorder="1" applyAlignment="1" applyProtection="1">
      <alignment vertical="center"/>
      <protection/>
    </xf>
    <xf numFmtId="194" fontId="32" fillId="43" borderId="18" xfId="0" applyNumberFormat="1" applyFont="1" applyFill="1" applyBorder="1" applyAlignment="1" applyProtection="1">
      <alignment horizontal="center" vertical="center"/>
      <protection/>
    </xf>
    <xf numFmtId="0" fontId="32" fillId="43" borderId="17" xfId="0" applyFont="1" applyFill="1" applyBorder="1" applyAlignment="1" applyProtection="1">
      <alignment vertical="center"/>
      <protection/>
    </xf>
    <xf numFmtId="0" fontId="32" fillId="43" borderId="21" xfId="0" applyFont="1" applyFill="1" applyBorder="1" applyAlignment="1" applyProtection="1">
      <alignment vertical="center"/>
      <protection/>
    </xf>
    <xf numFmtId="0" fontId="5" fillId="43" borderId="21" xfId="0" applyFont="1" applyFill="1" applyBorder="1" applyAlignment="1" applyProtection="1">
      <alignment/>
      <protection locked="0"/>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27" xfId="0" applyNumberFormat="1" applyFont="1" applyFill="1" applyBorder="1" applyAlignment="1" applyProtection="1">
      <alignment horizontal="right" vertical="center"/>
      <protection/>
    </xf>
    <xf numFmtId="0" fontId="5" fillId="34" borderId="27" xfId="0" applyFont="1" applyFill="1" applyBorder="1" applyAlignment="1" applyProtection="1">
      <alignment horizontal="right" vertical="center"/>
      <protection/>
    </xf>
    <xf numFmtId="3" fontId="5" fillId="34" borderId="43" xfId="0" applyNumberFormat="1" applyFont="1" applyFill="1" applyBorder="1" applyAlignment="1" applyProtection="1">
      <alignment horizontal="right" vertical="center"/>
      <protection/>
    </xf>
    <xf numFmtId="180" fontId="5" fillId="34" borderId="43" xfId="0" applyNumberFormat="1" applyFont="1" applyFill="1" applyBorder="1" applyAlignment="1" applyProtection="1">
      <alignment horizontal="right" vertical="center"/>
      <protection/>
    </xf>
    <xf numFmtId="1" fontId="5" fillId="35" borderId="11" xfId="0" applyNumberFormat="1" applyFont="1" applyFill="1" applyBorder="1" applyAlignment="1" applyProtection="1">
      <alignment vertical="center"/>
      <protection locked="0"/>
    </xf>
    <xf numFmtId="1" fontId="5" fillId="35" borderId="10" xfId="0" applyNumberFormat="1" applyFont="1" applyFill="1" applyBorder="1" applyAlignment="1" applyProtection="1">
      <alignment vertical="center"/>
      <protection locked="0"/>
    </xf>
    <xf numFmtId="1" fontId="5" fillId="39" borderId="11" xfId="0" applyNumberFormat="1" applyFont="1" applyFill="1" applyBorder="1" applyAlignment="1" applyProtection="1">
      <alignment vertical="center"/>
      <protection/>
    </xf>
    <xf numFmtId="1" fontId="5" fillId="39" borderId="10" xfId="0" applyNumberFormat="1" applyFont="1" applyFill="1" applyBorder="1" applyAlignment="1" applyProtection="1">
      <alignment vertical="center"/>
      <protection/>
    </xf>
    <xf numFmtId="199" fontId="5" fillId="34" borderId="0" xfId="0" applyNumberFormat="1" applyFont="1" applyFill="1" applyAlignment="1">
      <alignment horizontal="center" vertical="center"/>
    </xf>
    <xf numFmtId="0" fontId="5" fillId="40" borderId="0" xfId="0" applyFont="1" applyFill="1" applyAlignment="1" applyProtection="1">
      <alignment vertical="center"/>
      <protection locked="0"/>
    </xf>
    <xf numFmtId="0" fontId="5" fillId="34" borderId="12" xfId="97" applyFont="1" applyFill="1" applyBorder="1" applyAlignment="1" applyProtection="1">
      <alignment horizontal="center" vertical="center"/>
      <protection/>
    </xf>
    <xf numFmtId="0" fontId="5" fillId="34" borderId="16" xfId="97" applyFont="1" applyFill="1" applyBorder="1" applyAlignment="1" applyProtection="1">
      <alignment horizontal="center" vertical="center"/>
      <protection/>
    </xf>
    <xf numFmtId="199" fontId="5" fillId="33" borderId="10" xfId="97" applyNumberFormat="1" applyFont="1" applyFill="1" applyBorder="1" applyAlignment="1" applyProtection="1">
      <alignment vertical="center"/>
      <protection locked="0"/>
    </xf>
    <xf numFmtId="3" fontId="5" fillId="34" borderId="10" xfId="97" applyNumberFormat="1" applyFont="1" applyFill="1" applyBorder="1" applyAlignment="1" applyProtection="1">
      <alignment vertical="center"/>
      <protection/>
    </xf>
    <xf numFmtId="0" fontId="5" fillId="0" borderId="0" xfId="157" applyFont="1" applyAlignment="1">
      <alignment vertical="center"/>
      <protection/>
    </xf>
    <xf numFmtId="0" fontId="5" fillId="0" borderId="0" xfId="565" applyFont="1" applyAlignment="1">
      <alignment vertical="center" wrapText="1"/>
      <protection/>
    </xf>
    <xf numFmtId="0" fontId="5" fillId="0" borderId="0" xfId="88" applyFont="1" applyAlignment="1">
      <alignment vertical="center" wrapText="1"/>
      <protection/>
    </xf>
    <xf numFmtId="0" fontId="5" fillId="0" borderId="0" xfId="89" applyFont="1" applyAlignment="1">
      <alignment vertical="center" wrapText="1"/>
      <protection/>
    </xf>
    <xf numFmtId="0" fontId="5" fillId="0" borderId="0" xfId="121" applyFont="1" applyAlignment="1">
      <alignment vertical="center" wrapText="1"/>
      <protection/>
    </xf>
    <xf numFmtId="0" fontId="5" fillId="0" borderId="0" xfId="106" applyFont="1" applyAlignment="1">
      <alignment vertical="center" wrapText="1"/>
      <protection/>
    </xf>
    <xf numFmtId="0" fontId="5" fillId="0" borderId="0" xfId="144" applyFont="1" applyAlignment="1">
      <alignment vertical="center" wrapText="1"/>
      <protection/>
    </xf>
    <xf numFmtId="0" fontId="5" fillId="0" borderId="0" xfId="152" applyFont="1" applyAlignment="1">
      <alignment vertical="center" wrapText="1"/>
      <protection/>
    </xf>
    <xf numFmtId="0" fontId="5" fillId="0" borderId="0" xfId="180" applyFont="1" applyAlignment="1">
      <alignment vertical="center" wrapText="1"/>
      <protection/>
    </xf>
    <xf numFmtId="0" fontId="43" fillId="0" borderId="0" xfId="0" applyFont="1" applyAlignment="1" applyProtection="1">
      <alignment vertical="center"/>
      <protection/>
    </xf>
    <xf numFmtId="0" fontId="11" fillId="32" borderId="0" xfId="68" applyFill="1" applyAlignment="1" applyProtection="1">
      <alignment/>
      <protection/>
    </xf>
    <xf numFmtId="0" fontId="73" fillId="32" borderId="0" xfId="444" applyFill="1">
      <alignment/>
      <protection/>
    </xf>
    <xf numFmtId="0" fontId="5" fillId="0" borderId="0" xfId="199" applyFont="1" applyAlignment="1">
      <alignment vertical="center"/>
      <protection/>
    </xf>
    <xf numFmtId="37" fontId="5" fillId="39" borderId="24" xfId="0" applyNumberFormat="1" applyFont="1" applyFill="1" applyBorder="1" applyAlignment="1" applyProtection="1">
      <alignment horizontal="right" vertical="center"/>
      <protection/>
    </xf>
    <xf numFmtId="37" fontId="5" fillId="34" borderId="10" xfId="0"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vertical="center"/>
      <protection/>
    </xf>
    <xf numFmtId="0" fontId="15" fillId="34" borderId="22" xfId="0" applyFont="1" applyFill="1" applyBorder="1" applyAlignment="1">
      <alignment horizontal="center" vertical="center"/>
    </xf>
    <xf numFmtId="3" fontId="5" fillId="34" borderId="10" xfId="0" applyNumberFormat="1" applyFont="1" applyFill="1" applyBorder="1" applyAlignment="1" applyProtection="1">
      <alignment horizontal="right"/>
      <protection/>
    </xf>
    <xf numFmtId="0" fontId="5" fillId="34" borderId="0" xfId="0" applyFont="1" applyFill="1" applyAlignment="1" applyProtection="1">
      <alignment horizontal="left"/>
      <protection/>
    </xf>
    <xf numFmtId="3" fontId="5" fillId="34" borderId="12" xfId="0" applyNumberFormat="1" applyFont="1" applyFill="1" applyBorder="1" applyAlignment="1" applyProtection="1">
      <alignment/>
      <protection/>
    </xf>
    <xf numFmtId="0" fontId="5" fillId="0" borderId="0" xfId="87" applyFont="1" applyAlignment="1">
      <alignment horizontal="left" vertical="center"/>
      <protection/>
    </xf>
    <xf numFmtId="37" fontId="5" fillId="33" borderId="11" xfId="0" applyNumberFormat="1" applyFont="1" applyFill="1" applyBorder="1" applyAlignment="1" applyProtection="1">
      <alignment horizontal="left" vertical="center"/>
      <protection locked="0"/>
    </xf>
    <xf numFmtId="0" fontId="5" fillId="33" borderId="19" xfId="0" applyFont="1" applyFill="1" applyBorder="1" applyAlignment="1" applyProtection="1">
      <alignment vertical="center"/>
      <protection/>
    </xf>
    <xf numFmtId="49" fontId="5" fillId="33" borderId="11" xfId="541" applyNumberFormat="1" applyFont="1" applyFill="1" applyBorder="1" applyAlignment="1" applyProtection="1">
      <alignment horizontal="left" vertical="center"/>
      <protection locked="0"/>
    </xf>
    <xf numFmtId="49" fontId="5" fillId="33" borderId="19" xfId="541" applyNumberFormat="1" applyFont="1" applyFill="1" applyBorder="1" applyAlignment="1" applyProtection="1">
      <alignment horizontal="left" vertical="center"/>
      <protection locked="0"/>
    </xf>
    <xf numFmtId="49" fontId="5" fillId="33" borderId="10" xfId="541" applyNumberFormat="1" applyFont="1" applyFill="1" applyBorder="1" applyAlignment="1" applyProtection="1">
      <alignment horizontal="left" vertical="center"/>
      <protection locked="0"/>
    </xf>
    <xf numFmtId="0" fontId="5" fillId="33" borderId="11" xfId="541" applyFont="1" applyFill="1" applyBorder="1" applyAlignment="1" applyProtection="1">
      <alignment horizontal="left" vertical="center"/>
      <protection locked="0"/>
    </xf>
    <xf numFmtId="0" fontId="5" fillId="33" borderId="20" xfId="541" applyFont="1" applyFill="1" applyBorder="1" applyAlignment="1" applyProtection="1">
      <alignment horizontal="left" vertical="center"/>
      <protection locked="0"/>
    </xf>
    <xf numFmtId="0" fontId="29" fillId="33" borderId="19" xfId="541" applyFill="1" applyBorder="1" applyAlignment="1" applyProtection="1">
      <alignment horizontal="left" vertical="center"/>
      <protection locked="0"/>
    </xf>
    <xf numFmtId="0" fontId="7" fillId="34" borderId="0" xfId="89" applyFont="1" applyFill="1" applyAlignment="1" applyProtection="1">
      <alignment horizontal="center"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3" fontId="5" fillId="34" borderId="20" xfId="0" applyNumberFormat="1" applyFont="1" applyFill="1" applyBorder="1" applyAlignment="1" applyProtection="1">
      <alignment vertical="center"/>
      <protection/>
    </xf>
    <xf numFmtId="3" fontId="5" fillId="34" borderId="22" xfId="0" applyNumberFormat="1" applyFont="1" applyFill="1" applyBorder="1" applyAlignment="1">
      <alignment vertical="center"/>
    </xf>
    <xf numFmtId="0" fontId="5" fillId="34" borderId="22" xfId="0" applyFont="1" applyFill="1" applyBorder="1" applyAlignment="1">
      <alignment vertical="center"/>
    </xf>
    <xf numFmtId="0" fontId="5" fillId="34" borderId="0" xfId="0" applyFont="1" applyFill="1" applyBorder="1" applyAlignment="1">
      <alignment vertical="center"/>
    </xf>
    <xf numFmtId="171" fontId="5" fillId="34" borderId="17"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44" xfId="0" applyNumberFormat="1" applyFont="1" applyFill="1" applyBorder="1" applyAlignment="1">
      <alignment vertical="center"/>
    </xf>
    <xf numFmtId="3" fontId="5" fillId="34" borderId="17" xfId="42" applyNumberFormat="1" applyFont="1" applyFill="1" applyBorder="1" applyAlignment="1" applyProtection="1">
      <alignment vertical="center"/>
      <protection/>
    </xf>
    <xf numFmtId="3" fontId="5" fillId="34" borderId="0" xfId="89" applyNumberFormat="1" applyFont="1" applyFill="1" applyAlignment="1" applyProtection="1">
      <alignment vertical="center"/>
      <protection/>
    </xf>
    <xf numFmtId="3" fontId="5" fillId="34" borderId="17" xfId="89" applyNumberFormat="1" applyFont="1" applyFill="1" applyBorder="1" applyAlignment="1" applyProtection="1">
      <alignment vertical="center"/>
      <protection/>
    </xf>
    <xf numFmtId="3" fontId="5" fillId="34" borderId="0" xfId="89" applyNumberFormat="1" applyFont="1" applyFill="1" applyBorder="1" applyAlignment="1" applyProtection="1">
      <alignment vertical="center"/>
      <protection/>
    </xf>
    <xf numFmtId="0" fontId="5" fillId="34" borderId="0" xfId="89" applyFont="1" applyFill="1" applyAlignment="1" applyProtection="1">
      <alignment horizontal="left" vertical="center"/>
      <protection/>
    </xf>
    <xf numFmtId="0" fontId="5" fillId="40" borderId="0" xfId="89" applyFont="1" applyFill="1" applyAlignment="1" applyProtection="1">
      <alignment vertical="center"/>
      <protection/>
    </xf>
    <xf numFmtId="0" fontId="5" fillId="34" borderId="0" xfId="89" applyFont="1" applyFill="1" applyAlignment="1" applyProtection="1" quotePrefix="1">
      <alignment vertical="center"/>
      <protection/>
    </xf>
    <xf numFmtId="3" fontId="5" fillId="34" borderId="44" xfId="89" applyNumberFormat="1" applyFont="1" applyFill="1" applyBorder="1" applyAlignment="1" applyProtection="1">
      <alignment vertical="center"/>
      <protection/>
    </xf>
    <xf numFmtId="0" fontId="5" fillId="34" borderId="0" xfId="89" applyFont="1" applyFill="1" applyAlignment="1" applyProtection="1" quotePrefix="1">
      <alignment horizontal="left" vertical="center"/>
      <protection/>
    </xf>
    <xf numFmtId="10" fontId="5" fillId="34" borderId="0" xfId="89" applyNumberFormat="1" applyFont="1" applyFill="1" applyBorder="1" applyAlignment="1" applyProtection="1">
      <alignment vertical="center"/>
      <protection/>
    </xf>
    <xf numFmtId="0" fontId="7" fillId="34" borderId="0" xfId="89" applyFont="1" applyFill="1" applyAlignment="1" applyProtection="1">
      <alignment horizontal="left" vertical="center"/>
      <protection/>
    </xf>
    <xf numFmtId="37" fontId="5" fillId="43" borderId="10" xfId="0" applyNumberFormat="1" applyFont="1" applyFill="1" applyBorder="1" applyAlignment="1" applyProtection="1">
      <alignment horizontal="left" vertical="center"/>
      <protection/>
    </xf>
    <xf numFmtId="0" fontId="73" fillId="45" borderId="0" xfId="445" applyFill="1" applyBorder="1">
      <alignment/>
      <protection/>
    </xf>
    <xf numFmtId="0" fontId="73" fillId="45" borderId="0" xfId="445" applyFill="1" applyBorder="1" applyAlignment="1">
      <alignment horizontal="left" vertical="center"/>
      <protection/>
    </xf>
    <xf numFmtId="0" fontId="73" fillId="45" borderId="0" xfId="445" applyFill="1" applyBorder="1" applyAlignment="1">
      <alignment horizontal="center" vertical="center"/>
      <protection/>
    </xf>
    <xf numFmtId="0" fontId="45" fillId="0" borderId="0" xfId="0" applyFont="1" applyAlignment="1">
      <alignment/>
    </xf>
    <xf numFmtId="0" fontId="73" fillId="45" borderId="0" xfId="445" applyFill="1">
      <alignment/>
      <protection/>
    </xf>
    <xf numFmtId="0" fontId="88" fillId="45" borderId="0" xfId="445" applyFont="1" applyFill="1" applyBorder="1">
      <alignment/>
      <protection/>
    </xf>
    <xf numFmtId="0" fontId="88" fillId="45" borderId="37" xfId="445" applyFont="1" applyFill="1" applyBorder="1">
      <alignment/>
      <protection/>
    </xf>
    <xf numFmtId="0" fontId="88" fillId="45" borderId="30" xfId="445" applyFont="1" applyFill="1" applyBorder="1">
      <alignment/>
      <protection/>
    </xf>
    <xf numFmtId="0" fontId="88" fillId="45" borderId="28" xfId="445" applyFont="1" applyFill="1" applyBorder="1">
      <alignment/>
      <protection/>
    </xf>
    <xf numFmtId="0" fontId="88" fillId="45" borderId="34" xfId="445" applyFont="1" applyFill="1" applyBorder="1">
      <alignment/>
      <protection/>
    </xf>
    <xf numFmtId="0" fontId="88" fillId="45" borderId="0" xfId="445" applyFont="1" applyFill="1" applyBorder="1" applyAlignment="1">
      <alignment horizontal="center"/>
      <protection/>
    </xf>
    <xf numFmtId="0" fontId="88" fillId="45" borderId="0" xfId="445" applyFont="1" applyFill="1" applyBorder="1" applyAlignment="1">
      <alignment horizontal="right"/>
      <protection/>
    </xf>
    <xf numFmtId="0" fontId="88" fillId="45" borderId="39" xfId="445" applyFont="1" applyFill="1" applyBorder="1">
      <alignment/>
      <protection/>
    </xf>
    <xf numFmtId="3" fontId="88" fillId="45" borderId="17" xfId="445" applyNumberFormat="1" applyFont="1" applyFill="1" applyBorder="1">
      <alignment/>
      <protection/>
    </xf>
    <xf numFmtId="3" fontId="88" fillId="45" borderId="20" xfId="445" applyNumberFormat="1" applyFont="1" applyFill="1" applyBorder="1">
      <alignment/>
      <protection/>
    </xf>
    <xf numFmtId="0" fontId="5" fillId="0" borderId="0" xfId="564" applyFont="1" applyAlignment="1">
      <alignment vertical="top" wrapText="1"/>
      <protection/>
    </xf>
    <xf numFmtId="0" fontId="5" fillId="0" borderId="0" xfId="87" applyFont="1" applyAlignment="1">
      <alignment vertical="center"/>
      <protection/>
    </xf>
    <xf numFmtId="0" fontId="88" fillId="45" borderId="17" xfId="445" applyFont="1" applyFill="1" applyBorder="1" applyAlignment="1" applyProtection="1">
      <alignment horizontal="center"/>
      <protection locked="0"/>
    </xf>
    <xf numFmtId="0" fontId="88" fillId="45" borderId="45" xfId="445" applyFont="1" applyFill="1" applyBorder="1" applyAlignment="1" applyProtection="1">
      <alignment horizontal="center"/>
      <protection locked="0"/>
    </xf>
    <xf numFmtId="195" fontId="33" fillId="40" borderId="0" xfId="0" applyNumberFormat="1" applyFont="1" applyFill="1" applyBorder="1" applyAlignment="1">
      <alignment horizontal="center"/>
    </xf>
    <xf numFmtId="0" fontId="5" fillId="0" borderId="0" xfId="89" applyFont="1" applyAlignment="1">
      <alignment vertical="center"/>
      <protection/>
    </xf>
    <xf numFmtId="178" fontId="5" fillId="33" borderId="10" xfId="0" applyNumberFormat="1" applyFont="1" applyFill="1" applyBorder="1" applyAlignment="1" applyProtection="1">
      <alignment vertical="center"/>
      <protection locked="0"/>
    </xf>
    <xf numFmtId="178" fontId="5" fillId="33" borderId="12" xfId="0" applyNumberFormat="1" applyFont="1" applyFill="1" applyBorder="1" applyAlignment="1" applyProtection="1">
      <alignment vertical="center"/>
      <protection locked="0"/>
    </xf>
    <xf numFmtId="195" fontId="33" fillId="40" borderId="0" xfId="0" applyNumberFormat="1" applyFont="1" applyFill="1" applyAlignment="1">
      <alignment horizontal="center"/>
    </xf>
    <xf numFmtId="195" fontId="33" fillId="40" borderId="17" xfId="0" applyNumberFormat="1" applyFont="1" applyFill="1" applyBorder="1" applyAlignment="1">
      <alignment horizontal="center"/>
    </xf>
    <xf numFmtId="195" fontId="33" fillId="40" borderId="0" xfId="0" applyNumberFormat="1" applyFont="1" applyFill="1" applyAlignment="1">
      <alignment/>
    </xf>
    <xf numFmtId="0" fontId="5" fillId="37" borderId="19" xfId="0" applyFont="1" applyFill="1" applyBorder="1" applyAlignment="1" applyProtection="1">
      <alignment vertical="center"/>
      <protection/>
    </xf>
    <xf numFmtId="37" fontId="14" fillId="46" borderId="14" xfId="0" applyNumberFormat="1" applyFont="1" applyFill="1" applyBorder="1" applyAlignment="1" applyProtection="1">
      <alignment horizontal="left" vertical="center"/>
      <protection/>
    </xf>
    <xf numFmtId="0" fontId="6" fillId="37" borderId="13" xfId="0" applyFont="1" applyFill="1" applyBorder="1" applyAlignment="1" applyProtection="1">
      <alignment vertical="center"/>
      <protection/>
    </xf>
    <xf numFmtId="0" fontId="5" fillId="46" borderId="38" xfId="0" applyFont="1" applyFill="1" applyBorder="1" applyAlignment="1" applyProtection="1">
      <alignment vertical="center"/>
      <protection/>
    </xf>
    <xf numFmtId="0" fontId="5" fillId="46" borderId="23" xfId="0" applyFont="1" applyFill="1" applyBorder="1" applyAlignment="1" applyProtection="1">
      <alignment vertical="center"/>
      <protection/>
    </xf>
    <xf numFmtId="0" fontId="5" fillId="46" borderId="18" xfId="0" applyFont="1" applyFill="1" applyBorder="1" applyAlignment="1" applyProtection="1">
      <alignment vertical="center"/>
      <protection/>
    </xf>
    <xf numFmtId="0" fontId="5" fillId="46" borderId="21" xfId="0" applyFont="1" applyFill="1" applyBorder="1" applyAlignment="1" applyProtection="1">
      <alignment vertical="center"/>
      <protection/>
    </xf>
    <xf numFmtId="0" fontId="5" fillId="46" borderId="11" xfId="0" applyFont="1" applyFill="1" applyBorder="1" applyAlignment="1" applyProtection="1">
      <alignment vertical="center"/>
      <protection/>
    </xf>
    <xf numFmtId="37" fontId="5" fillId="34" borderId="16" xfId="0" applyNumberFormat="1" applyFont="1" applyFill="1" applyBorder="1" applyAlignment="1" applyProtection="1">
      <alignment horizontal="centerContinuous" vertical="top" wrapText="1"/>
      <protection/>
    </xf>
    <xf numFmtId="37" fontId="5" fillId="34" borderId="16" xfId="0" applyNumberFormat="1" applyFont="1" applyFill="1" applyBorder="1" applyAlignment="1" applyProtection="1">
      <alignment horizontal="center" vertical="top" wrapText="1"/>
      <protection/>
    </xf>
    <xf numFmtId="37" fontId="14" fillId="46" borderId="11" xfId="0" applyNumberFormat="1" applyFont="1" applyFill="1" applyBorder="1" applyAlignment="1" applyProtection="1">
      <alignment horizontal="left" vertical="center"/>
      <protection/>
    </xf>
    <xf numFmtId="3" fontId="5" fillId="46" borderId="20" xfId="0" applyNumberFormat="1" applyFont="1" applyFill="1" applyBorder="1" applyAlignment="1" applyProtection="1">
      <alignment vertical="center"/>
      <protection/>
    </xf>
    <xf numFmtId="195" fontId="5" fillId="43" borderId="21" xfId="116" applyNumberFormat="1" applyFont="1" applyFill="1" applyBorder="1" applyAlignment="1" applyProtection="1">
      <alignment horizontal="center"/>
      <protection/>
    </xf>
    <xf numFmtId="0" fontId="4" fillId="46" borderId="14" xfId="0" applyFont="1" applyFill="1" applyBorder="1" applyAlignment="1" applyProtection="1">
      <alignment vertical="center"/>
      <protection/>
    </xf>
    <xf numFmtId="0" fontId="5" fillId="46" borderId="13" xfId="0" applyFont="1" applyFill="1" applyBorder="1" applyAlignment="1" applyProtection="1">
      <alignment vertical="center"/>
      <protection/>
    </xf>
    <xf numFmtId="37" fontId="4" fillId="47" borderId="38" xfId="0" applyNumberFormat="1" applyFont="1" applyFill="1" applyBorder="1" applyAlignment="1" applyProtection="1">
      <alignment horizontal="left" vertical="center"/>
      <protection/>
    </xf>
    <xf numFmtId="0" fontId="5" fillId="47" borderId="23" xfId="0" applyFont="1" applyFill="1" applyBorder="1" applyAlignment="1" applyProtection="1">
      <alignment vertical="center"/>
      <protection/>
    </xf>
    <xf numFmtId="37" fontId="4" fillId="47" borderId="18" xfId="0" applyNumberFormat="1" applyFont="1" applyFill="1" applyBorder="1" applyAlignment="1" applyProtection="1">
      <alignment horizontal="left" vertical="center"/>
      <protection/>
    </xf>
    <xf numFmtId="0" fontId="5" fillId="47" borderId="21" xfId="0"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164" fontId="5" fillId="34" borderId="20" xfId="0" applyNumberFormat="1" applyFont="1" applyFill="1" applyBorder="1" applyAlignment="1" applyProtection="1">
      <alignment vertical="center"/>
      <protection locked="0"/>
    </xf>
    <xf numFmtId="164" fontId="5" fillId="33" borderId="16" xfId="0" applyNumberFormat="1" applyFont="1" applyFill="1" applyBorder="1" applyAlignment="1" applyProtection="1">
      <alignment vertical="center"/>
      <protection locked="0"/>
    </xf>
    <xf numFmtId="3" fontId="5" fillId="37" borderId="19" xfId="0" applyNumberFormat="1" applyFont="1" applyFill="1" applyBorder="1" applyAlignment="1" applyProtection="1">
      <alignment vertical="center"/>
      <protection/>
    </xf>
    <xf numFmtId="0" fontId="5" fillId="46" borderId="20" xfId="0"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40" borderId="0" xfId="89" applyFont="1" applyFill="1" applyAlignment="1" applyProtection="1">
      <alignment vertical="center"/>
      <protection/>
    </xf>
    <xf numFmtId="0" fontId="4" fillId="46" borderId="11" xfId="0" applyFont="1" applyFill="1" applyBorder="1" applyAlignment="1">
      <alignment vertical="center"/>
    </xf>
    <xf numFmtId="37" fontId="5" fillId="34" borderId="16" xfId="0" applyNumberFormat="1" applyFont="1" applyFill="1" applyBorder="1" applyAlignment="1" applyProtection="1">
      <alignment vertical="center"/>
      <protection/>
    </xf>
    <xf numFmtId="37" fontId="5" fillId="46" borderId="12" xfId="0" applyNumberFormat="1" applyFont="1" applyFill="1" applyBorder="1" applyAlignment="1" applyProtection="1">
      <alignment horizontal="center" vertical="center"/>
      <protection/>
    </xf>
    <xf numFmtId="0" fontId="5" fillId="46" borderId="16" xfId="0" applyFont="1" applyFill="1" applyBorder="1" applyAlignment="1">
      <alignment horizontal="center" vertical="center"/>
    </xf>
    <xf numFmtId="0" fontId="5" fillId="46" borderId="19" xfId="0" applyFont="1" applyFill="1" applyBorder="1" applyAlignment="1" applyProtection="1">
      <alignment vertical="center"/>
      <protection/>
    </xf>
    <xf numFmtId="37" fontId="4" fillId="47" borderId="11" xfId="0" applyNumberFormat="1" applyFont="1" applyFill="1" applyBorder="1" applyAlignment="1" applyProtection="1">
      <alignment horizontal="left" vertical="center"/>
      <protection/>
    </xf>
    <xf numFmtId="0" fontId="5" fillId="47" borderId="19" xfId="0" applyFont="1" applyFill="1" applyBorder="1" applyAlignment="1" applyProtection="1">
      <alignment vertical="center"/>
      <protection/>
    </xf>
    <xf numFmtId="0" fontId="1" fillId="46" borderId="20" xfId="0" applyFont="1" applyFill="1" applyBorder="1" applyAlignment="1">
      <alignment vertical="center"/>
    </xf>
    <xf numFmtId="0" fontId="0" fillId="46" borderId="20" xfId="0" applyFill="1" applyBorder="1" applyAlignment="1" applyProtection="1">
      <alignment vertical="center"/>
      <protection locked="0"/>
    </xf>
    <xf numFmtId="0" fontId="5" fillId="33" borderId="0" xfId="0" applyFont="1" applyFill="1" applyAlignment="1" applyProtection="1">
      <alignment horizontal="center" vertical="center"/>
      <protection locked="0"/>
    </xf>
    <xf numFmtId="0" fontId="5" fillId="33" borderId="0" xfId="0" applyFont="1" applyFill="1" applyAlignment="1" applyProtection="1">
      <alignment horizontal="center"/>
      <protection locked="0"/>
    </xf>
    <xf numFmtId="37" fontId="5" fillId="40" borderId="0" xfId="0" applyNumberFormat="1" applyFont="1" applyFill="1" applyAlignment="1" applyProtection="1">
      <alignment horizontal="centerContinuous" vertical="center"/>
      <protection/>
    </xf>
    <xf numFmtId="0" fontId="5" fillId="40" borderId="0" xfId="0" applyFont="1" applyFill="1" applyAlignment="1" applyProtection="1">
      <alignment horizontal="centerContinuous" vertical="center"/>
      <protection/>
    </xf>
    <xf numFmtId="0" fontId="0" fillId="0" borderId="0" xfId="0" applyFill="1" applyAlignment="1">
      <alignment vertical="center"/>
    </xf>
    <xf numFmtId="37" fontId="4" fillId="34" borderId="38" xfId="0" applyNumberFormat="1" applyFont="1" applyFill="1" applyBorder="1" applyAlignment="1" applyProtection="1">
      <alignment horizontal="left" vertical="center"/>
      <protection/>
    </xf>
    <xf numFmtId="3" fontId="5" fillId="37" borderId="20" xfId="0" applyNumberFormat="1" applyFont="1" applyFill="1" applyBorder="1" applyAlignment="1" applyProtection="1">
      <alignment vertical="center"/>
      <protection/>
    </xf>
    <xf numFmtId="0" fontId="5" fillId="40" borderId="0" xfId="0" applyFont="1" applyFill="1" applyAlignment="1" applyProtection="1">
      <alignment vertical="center"/>
      <protection/>
    </xf>
    <xf numFmtId="37" fontId="5" fillId="40" borderId="0" xfId="0" applyNumberFormat="1" applyFont="1" applyFill="1" applyAlignment="1" applyProtection="1">
      <alignment horizontal="left" vertical="center"/>
      <protection/>
    </xf>
    <xf numFmtId="3" fontId="5" fillId="40" borderId="0" xfId="0" applyNumberFormat="1" applyFont="1" applyFill="1" applyBorder="1" applyAlignment="1" applyProtection="1">
      <alignment vertical="center"/>
      <protection/>
    </xf>
    <xf numFmtId="165" fontId="5" fillId="40" borderId="17" xfId="0" applyNumberFormat="1" applyFont="1" applyFill="1" applyBorder="1" applyAlignment="1" applyProtection="1">
      <alignment vertical="center"/>
      <protection/>
    </xf>
    <xf numFmtId="165" fontId="5" fillId="40" borderId="0" xfId="0" applyNumberFormat="1" applyFont="1" applyFill="1" applyBorder="1" applyAlignment="1" applyProtection="1">
      <alignment vertical="center"/>
      <protection/>
    </xf>
    <xf numFmtId="0" fontId="0" fillId="40" borderId="0" xfId="0" applyFill="1" applyAlignment="1">
      <alignment vertical="center"/>
    </xf>
    <xf numFmtId="3" fontId="5" fillId="33" borderId="10" xfId="87" applyNumberFormat="1" applyFont="1" applyFill="1" applyBorder="1" applyAlignment="1" applyProtection="1">
      <alignment vertical="center"/>
      <protection locked="0"/>
    </xf>
    <xf numFmtId="178" fontId="5" fillId="34" borderId="0" xfId="87" applyNumberFormat="1" applyFont="1" applyFill="1" applyBorder="1" applyAlignment="1" applyProtection="1">
      <alignment vertical="center"/>
      <protection/>
    </xf>
    <xf numFmtId="0" fontId="5" fillId="33" borderId="10" xfId="87" applyFont="1" applyFill="1" applyBorder="1" applyAlignment="1" applyProtection="1">
      <alignment vertical="center"/>
      <protection locked="0"/>
    </xf>
    <xf numFmtId="0" fontId="5" fillId="33" borderId="10" xfId="87" applyFont="1" applyFill="1" applyBorder="1" applyAlignment="1" applyProtection="1">
      <alignment vertical="center"/>
      <protection locked="0"/>
    </xf>
    <xf numFmtId="0" fontId="0" fillId="46" borderId="19" xfId="0" applyFill="1" applyBorder="1" applyAlignment="1" applyProtection="1">
      <alignment vertical="center"/>
      <protection locked="0"/>
    </xf>
    <xf numFmtId="3" fontId="5" fillId="33" borderId="16" xfId="87" applyNumberFormat="1" applyFont="1" applyFill="1" applyBorder="1" applyAlignment="1" applyProtection="1">
      <alignment vertical="center"/>
      <protection locked="0"/>
    </xf>
    <xf numFmtId="37" fontId="5" fillId="34" borderId="16" xfId="89" applyNumberFormat="1" applyFont="1" applyFill="1" applyBorder="1" applyAlignment="1" applyProtection="1">
      <alignment horizontal="center" vertical="center"/>
      <protection/>
    </xf>
    <xf numFmtId="37" fontId="5" fillId="34" borderId="22" xfId="87" applyNumberFormat="1" applyFont="1" applyFill="1" applyBorder="1" applyAlignment="1" applyProtection="1">
      <alignment horizontal="center" vertical="center"/>
      <protection/>
    </xf>
    <xf numFmtId="37" fontId="5" fillId="34" borderId="0" xfId="87" applyNumberFormat="1" applyFont="1" applyFill="1" applyAlignment="1" applyProtection="1">
      <alignment horizontal="left" vertical="center"/>
      <protection/>
    </xf>
    <xf numFmtId="0" fontId="5" fillId="40" borderId="0" xfId="89" applyFont="1" applyFill="1" applyAlignment="1" applyProtection="1">
      <alignment vertical="center"/>
      <protection/>
    </xf>
    <xf numFmtId="0" fontId="5" fillId="40" borderId="0" xfId="89" applyFont="1" applyFill="1" applyAlignment="1" applyProtection="1">
      <alignment vertical="center"/>
      <protection/>
    </xf>
    <xf numFmtId="165" fontId="5" fillId="40" borderId="0" xfId="87" applyNumberFormat="1" applyFont="1" applyFill="1" applyBorder="1" applyAlignment="1" applyProtection="1">
      <alignment vertical="center"/>
      <protection/>
    </xf>
    <xf numFmtId="0" fontId="5" fillId="40" borderId="0" xfId="89" applyFont="1" applyFill="1" applyAlignment="1" applyProtection="1">
      <alignment vertical="center"/>
      <protection locked="0"/>
    </xf>
    <xf numFmtId="0" fontId="5" fillId="40" borderId="0" xfId="87" applyFont="1" applyFill="1" applyAlignment="1" applyProtection="1">
      <alignment vertical="center"/>
      <protection/>
    </xf>
    <xf numFmtId="0" fontId="5" fillId="34" borderId="11" xfId="87" applyNumberFormat="1" applyFont="1" applyFill="1" applyBorder="1" applyAlignment="1" applyProtection="1">
      <alignment horizontal="left" vertical="center"/>
      <protection/>
    </xf>
    <xf numFmtId="0" fontId="88" fillId="45" borderId="0" xfId="445" applyFont="1" applyFill="1" applyBorder="1" applyAlignment="1">
      <alignment horizontal="center"/>
      <protection/>
    </xf>
    <xf numFmtId="0" fontId="88" fillId="45" borderId="37" xfId="445" applyFont="1" applyFill="1" applyBorder="1" applyAlignment="1">
      <alignment horizontal="center"/>
      <protection/>
    </xf>
    <xf numFmtId="3" fontId="32" fillId="40" borderId="21" xfId="0" applyNumberFormat="1" applyFont="1" applyFill="1" applyBorder="1" applyAlignment="1" applyProtection="1">
      <alignment vertical="center"/>
      <protection locked="0"/>
    </xf>
    <xf numFmtId="3" fontId="32" fillId="40" borderId="23" xfId="0" applyNumberFormat="1" applyFont="1" applyFill="1" applyBorder="1" applyAlignment="1" applyProtection="1">
      <alignment vertical="center"/>
      <protection locked="0"/>
    </xf>
    <xf numFmtId="3" fontId="32" fillId="40" borderId="21" xfId="0" applyNumberFormat="1" applyFont="1" applyFill="1" applyBorder="1" applyAlignment="1" applyProtection="1">
      <alignment horizontal="right" vertical="center"/>
      <protection locked="0"/>
    </xf>
    <xf numFmtId="3" fontId="32" fillId="40" borderId="23" xfId="0" applyNumberFormat="1" applyFont="1" applyFill="1" applyBorder="1" applyAlignment="1" applyProtection="1">
      <alignment horizontal="right" vertical="center"/>
      <protection locked="0"/>
    </xf>
    <xf numFmtId="0" fontId="5" fillId="40" borderId="0" xfId="0" applyFont="1" applyFill="1" applyBorder="1" applyAlignment="1" applyProtection="1">
      <alignment vertical="center"/>
      <protection locked="0"/>
    </xf>
    <xf numFmtId="0" fontId="32" fillId="40" borderId="38" xfId="0" applyFont="1" applyFill="1" applyBorder="1" applyAlignment="1" applyProtection="1">
      <alignment horizontal="left" vertical="center"/>
      <protection locked="0"/>
    </xf>
    <xf numFmtId="1" fontId="32" fillId="40" borderId="21" xfId="0" applyNumberFormat="1" applyFont="1" applyFill="1" applyBorder="1" applyAlignment="1" applyProtection="1">
      <alignment horizontal="right" vertical="center"/>
      <protection locked="0"/>
    </xf>
    <xf numFmtId="0" fontId="32" fillId="40" borderId="18" xfId="0" applyFont="1" applyFill="1" applyBorder="1" applyAlignment="1" applyProtection="1">
      <alignment horizontal="left" vertical="center"/>
      <protection locked="0"/>
    </xf>
    <xf numFmtId="1" fontId="32" fillId="40" borderId="23" xfId="87" applyNumberFormat="1" applyFont="1" applyFill="1" applyBorder="1" applyAlignment="1" applyProtection="1">
      <alignment horizontal="right" vertical="center"/>
      <protection/>
    </xf>
    <xf numFmtId="0" fontId="32" fillId="40" borderId="0" xfId="87" applyFont="1" applyFill="1" applyBorder="1" applyAlignment="1" applyProtection="1">
      <alignment vertical="center"/>
      <protection/>
    </xf>
    <xf numFmtId="0" fontId="5" fillId="40" borderId="0" xfId="87" applyFont="1" applyFill="1" applyBorder="1" applyAlignment="1" applyProtection="1">
      <alignment vertical="center"/>
      <protection/>
    </xf>
    <xf numFmtId="0" fontId="32" fillId="40" borderId="38" xfId="87" applyFont="1" applyFill="1" applyBorder="1" applyAlignment="1" applyProtection="1">
      <alignment horizontal="left" vertical="center"/>
      <protection/>
    </xf>
    <xf numFmtId="0" fontId="38" fillId="40" borderId="14" xfId="237" applyFont="1" applyFill="1" applyBorder="1" applyAlignment="1">
      <alignment horizontal="left" vertical="center"/>
      <protection/>
    </xf>
    <xf numFmtId="0" fontId="4" fillId="40" borderId="22" xfId="0" applyFont="1" applyFill="1" applyBorder="1" applyAlignment="1">
      <alignment horizontal="centerContinuous" vertical="center"/>
    </xf>
    <xf numFmtId="0" fontId="102" fillId="40" borderId="13" xfId="0" applyFont="1" applyFill="1" applyBorder="1" applyAlignment="1">
      <alignment horizontal="center" vertical="center"/>
    </xf>
    <xf numFmtId="0" fontId="5" fillId="40" borderId="22" xfId="0" applyFont="1" applyFill="1" applyBorder="1" applyAlignment="1" applyProtection="1">
      <alignment vertical="center"/>
      <protection locked="0"/>
    </xf>
    <xf numFmtId="0" fontId="32" fillId="40" borderId="0" xfId="0" applyFont="1" applyFill="1" applyBorder="1" applyAlignment="1" applyProtection="1">
      <alignment vertical="center"/>
      <protection locked="0"/>
    </xf>
    <xf numFmtId="0" fontId="32" fillId="40" borderId="17" xfId="0" applyFont="1" applyFill="1" applyBorder="1" applyAlignment="1" applyProtection="1">
      <alignment vertical="center"/>
      <protection locked="0"/>
    </xf>
    <xf numFmtId="3" fontId="88" fillId="45" borderId="0" xfId="445" applyNumberFormat="1" applyFont="1" applyFill="1" applyBorder="1">
      <alignment/>
      <protection/>
    </xf>
    <xf numFmtId="0" fontId="88" fillId="45" borderId="0" xfId="445" applyFont="1" applyFill="1" applyBorder="1" applyAlignment="1" applyProtection="1">
      <alignment horizontal="center"/>
      <protection locked="0"/>
    </xf>
    <xf numFmtId="0" fontId="88" fillId="45" borderId="37" xfId="445" applyFont="1" applyFill="1" applyBorder="1" applyAlignment="1" applyProtection="1">
      <alignment horizontal="center"/>
      <protection locked="0"/>
    </xf>
    <xf numFmtId="0" fontId="103" fillId="45" borderId="30" xfId="445" applyFont="1" applyFill="1" applyBorder="1" applyAlignment="1">
      <alignment horizontal="center"/>
      <protection/>
    </xf>
    <xf numFmtId="0" fontId="103" fillId="45" borderId="0" xfId="445" applyFont="1" applyFill="1" applyBorder="1" applyAlignment="1">
      <alignment horizontal="center"/>
      <protection/>
    </xf>
    <xf numFmtId="0" fontId="46" fillId="0" borderId="0" xfId="0" applyFont="1" applyAlignment="1">
      <alignment/>
    </xf>
    <xf numFmtId="0" fontId="47" fillId="0" borderId="0" xfId="0" applyFont="1" applyAlignment="1">
      <alignment horizontal="left"/>
    </xf>
    <xf numFmtId="37" fontId="47" fillId="0" borderId="0" xfId="0" applyNumberFormat="1" applyFont="1" applyAlignment="1">
      <alignment horizontal="left"/>
    </xf>
    <xf numFmtId="0" fontId="46" fillId="0" borderId="0" xfId="0" applyFont="1" applyAlignment="1">
      <alignment horizontal="center" vertical="center"/>
    </xf>
    <xf numFmtId="0" fontId="48"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right" vertical="center"/>
    </xf>
    <xf numFmtId="0" fontId="46" fillId="0" borderId="0" xfId="87" applyFont="1" applyAlignment="1">
      <alignment horizontal="right" vertical="center" wrapText="1"/>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4" borderId="0" xfId="89" applyNumberFormat="1" applyFont="1" applyFill="1" applyAlignment="1" applyProtection="1">
      <alignment vertical="center" wrapText="1"/>
      <protection/>
    </xf>
    <xf numFmtId="0" fontId="5" fillId="34" borderId="14" xfId="89" applyFont="1" applyFill="1" applyBorder="1" applyAlignment="1" applyProtection="1">
      <alignment vertical="center" wrapText="1"/>
      <protection/>
    </xf>
    <xf numFmtId="0" fontId="0" fillId="0" borderId="13" xfId="89" applyBorder="1" applyAlignment="1">
      <alignment vertical="center" wrapText="1"/>
      <protection/>
    </xf>
    <xf numFmtId="0" fontId="0" fillId="0" borderId="38" xfId="89" applyBorder="1" applyAlignment="1">
      <alignment vertical="center" wrapText="1"/>
      <protection/>
    </xf>
    <xf numFmtId="0" fontId="0" fillId="0" borderId="23" xfId="89" applyBorder="1" applyAlignment="1">
      <alignment vertical="center" wrapText="1"/>
      <protection/>
    </xf>
    <xf numFmtId="0" fontId="0" fillId="0" borderId="18" xfId="89" applyBorder="1" applyAlignment="1">
      <alignment vertical="center" wrapText="1"/>
      <protection/>
    </xf>
    <xf numFmtId="0" fontId="0" fillId="0" borderId="21" xfId="89" applyBorder="1" applyAlignment="1">
      <alignment vertical="center" wrapText="1"/>
      <protection/>
    </xf>
    <xf numFmtId="0" fontId="4" fillId="37" borderId="11" xfId="0" applyFont="1" applyFill="1" applyBorder="1" applyAlignment="1">
      <alignment horizontal="center" vertical="center"/>
    </xf>
    <xf numFmtId="0" fontId="1" fillId="37" borderId="19" xfId="0" applyFont="1" applyFill="1" applyBorder="1" applyAlignment="1">
      <alignment horizontal="center" vertical="center"/>
    </xf>
    <xf numFmtId="37" fontId="4" fillId="34" borderId="34"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37" fontId="4" fillId="47" borderId="11"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19" xfId="0" applyBorder="1" applyAlignment="1">
      <alignment horizontal="center" vertical="center"/>
    </xf>
    <xf numFmtId="37" fontId="14" fillId="34" borderId="0" xfId="0" applyNumberFormat="1" applyFont="1" applyFill="1" applyBorder="1" applyAlignment="1" applyProtection="1">
      <alignment horizontal="center" vertical="center"/>
      <protection/>
    </xf>
    <xf numFmtId="0" fontId="1" fillId="34" borderId="34" xfId="0" applyFont="1" applyFill="1" applyBorder="1" applyAlignment="1">
      <alignment horizontal="center" vertical="center"/>
    </xf>
    <xf numFmtId="37" fontId="4" fillId="34" borderId="38"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17" fillId="34" borderId="0" xfId="0" applyFont="1" applyFill="1" applyBorder="1" applyAlignment="1">
      <alignment vertical="center"/>
    </xf>
    <xf numFmtId="0" fontId="20" fillId="0" borderId="0" xfId="0" applyFont="1" applyAlignment="1">
      <alignment vertical="center"/>
    </xf>
    <xf numFmtId="0" fontId="5" fillId="37" borderId="1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5" fillId="34" borderId="15" xfId="0" applyNumberFormat="1" applyFont="1" applyFill="1" applyBorder="1" applyAlignment="1" applyProtection="1">
      <alignment horizontal="center" vertical="center" wrapText="1"/>
      <protection/>
    </xf>
    <xf numFmtId="0" fontId="5" fillId="38" borderId="0"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37" fontId="5" fillId="34" borderId="15" xfId="0" applyNumberFormat="1" applyFont="1" applyFill="1" applyBorder="1" applyAlignment="1" applyProtection="1">
      <alignment horizontal="center" vertical="center" wrapText="1"/>
      <protection/>
    </xf>
    <xf numFmtId="37" fontId="5" fillId="34" borderId="12" xfId="87" applyNumberFormat="1" applyFont="1" applyFill="1" applyBorder="1" applyAlignment="1" applyProtection="1">
      <alignment horizontal="center" vertical="top" wrapText="1"/>
      <protection/>
    </xf>
    <xf numFmtId="0" fontId="0" fillId="0" borderId="16" xfId="87" applyBorder="1" applyAlignment="1">
      <alignment horizontal="center" vertical="top"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13" fillId="34" borderId="15" xfId="0" applyFont="1" applyFill="1" applyBorder="1" applyAlignment="1" applyProtection="1">
      <alignment horizontal="center" vertical="center" wrapText="1"/>
      <protection/>
    </xf>
    <xf numFmtId="0" fontId="13" fillId="34" borderId="16" xfId="0" applyFont="1" applyFill="1" applyBorder="1" applyAlignment="1" applyProtection="1">
      <alignment horizontal="center" vertical="center" wrapText="1"/>
      <protection/>
    </xf>
    <xf numFmtId="3" fontId="5" fillId="34" borderId="15" xfId="0" applyNumberFormat="1" applyFont="1" applyFill="1" applyBorder="1" applyAlignment="1" applyProtection="1">
      <alignment vertical="center" wrapText="1"/>
      <protection locked="0"/>
    </xf>
    <xf numFmtId="3" fontId="5" fillId="34" borderId="16" xfId="0" applyNumberFormat="1" applyFont="1" applyFill="1" applyBorder="1" applyAlignment="1" applyProtection="1">
      <alignment vertical="center" wrapText="1"/>
      <protection locked="0"/>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37" fontId="5" fillId="34" borderId="15" xfId="87" applyNumberFormat="1" applyFont="1" applyFill="1" applyBorder="1" applyAlignment="1" applyProtection="1">
      <alignment horizontal="center" vertical="top" wrapText="1"/>
      <protection/>
    </xf>
    <xf numFmtId="0" fontId="4" fillId="34" borderId="34" xfId="0" applyFont="1" applyFill="1" applyBorder="1" applyAlignment="1" applyProtection="1">
      <alignment horizontal="center" vertical="center"/>
      <protection/>
    </xf>
    <xf numFmtId="0" fontId="0" fillId="0" borderId="34" xfId="0" applyFont="1" applyBorder="1" applyAlignment="1">
      <alignment vertical="center"/>
    </xf>
    <xf numFmtId="0" fontId="5" fillId="0" borderId="0" xfId="541" applyFont="1" applyAlignment="1">
      <alignment horizontal="left" vertical="center" wrapText="1"/>
      <protection/>
    </xf>
    <xf numFmtId="0" fontId="29" fillId="0" borderId="0" xfId="541" applyAlignment="1">
      <alignment horizontal="left" vertical="center" wrapText="1"/>
      <protection/>
    </xf>
    <xf numFmtId="0" fontId="14" fillId="0" borderId="0" xfId="541" applyFont="1" applyAlignment="1">
      <alignment horizontal="left" vertical="center"/>
      <protection/>
    </xf>
    <xf numFmtId="0" fontId="1" fillId="34" borderId="0" xfId="0" applyFont="1" applyFill="1" applyAlignment="1" applyProtection="1">
      <alignment horizontal="center" vertical="center"/>
      <protection/>
    </xf>
    <xf numFmtId="37" fontId="5" fillId="40" borderId="0" xfId="0" applyNumberFormat="1" applyFont="1" applyFill="1" applyAlignment="1" applyProtection="1">
      <alignment horizontal="center" vertical="center"/>
      <protection/>
    </xf>
    <xf numFmtId="0" fontId="9" fillId="44" borderId="11" xfId="0" applyFont="1" applyFill="1" applyBorder="1" applyAlignment="1" applyProtection="1">
      <alignment horizontal="center" vertical="center"/>
      <protection/>
    </xf>
    <xf numFmtId="0" fontId="31" fillId="44" borderId="19" xfId="0" applyFont="1" applyFill="1" applyBorder="1" applyAlignment="1">
      <alignment horizontal="center" vertical="center"/>
    </xf>
    <xf numFmtId="3" fontId="5" fillId="41" borderId="14" xfId="0" applyNumberFormat="1" applyFont="1" applyFill="1" applyBorder="1" applyAlignment="1" applyProtection="1">
      <alignment horizontal="center" vertical="center"/>
      <protection locked="0"/>
    </xf>
    <xf numFmtId="3" fontId="0" fillId="41" borderId="13" xfId="0" applyNumberFormat="1" applyFill="1" applyBorder="1" applyAlignment="1" applyProtection="1">
      <alignment horizontal="center" vertical="center"/>
      <protection locked="0"/>
    </xf>
    <xf numFmtId="0" fontId="5" fillId="34" borderId="0" xfId="0" applyFont="1" applyFill="1" applyAlignment="1" applyProtection="1">
      <alignment horizontal="center" vertical="center"/>
      <protection/>
    </xf>
    <xf numFmtId="3" fontId="5" fillId="41" borderId="11" xfId="0" applyNumberFormat="1" applyFont="1" applyFill="1" applyBorder="1" applyAlignment="1" applyProtection="1">
      <alignment horizontal="center" vertical="center"/>
      <protection locked="0"/>
    </xf>
    <xf numFmtId="3" fontId="0" fillId="41" borderId="19" xfId="0" applyNumberFormat="1" applyFill="1" applyBorder="1" applyAlignment="1" applyProtection="1">
      <alignment horizontal="center" vertical="center"/>
      <protection locked="0"/>
    </xf>
    <xf numFmtId="3" fontId="5" fillId="42" borderId="11" xfId="0" applyNumberFormat="1" applyFont="1" applyFill="1" applyBorder="1" applyAlignment="1" applyProtection="1">
      <alignment horizontal="center" vertical="center"/>
      <protection/>
    </xf>
    <xf numFmtId="3" fontId="0" fillId="42" borderId="19" xfId="0" applyNumberFormat="1" applyFill="1" applyBorder="1" applyAlignment="1">
      <alignment horizontal="center" vertical="center"/>
    </xf>
    <xf numFmtId="0" fontId="5" fillId="44" borderId="14" xfId="0" applyFont="1" applyFill="1" applyBorder="1" applyAlignment="1" applyProtection="1">
      <alignment horizontal="center" vertical="center" wrapText="1"/>
      <protection/>
    </xf>
    <xf numFmtId="0" fontId="0" fillId="44" borderId="13" xfId="0" applyFill="1" applyBorder="1" applyAlignment="1">
      <alignment horizontal="center" vertical="center" wrapText="1"/>
    </xf>
    <xf numFmtId="0" fontId="0" fillId="44" borderId="18" xfId="0" applyFill="1" applyBorder="1" applyAlignment="1">
      <alignment horizontal="center" vertical="center" wrapText="1"/>
    </xf>
    <xf numFmtId="0" fontId="0" fillId="44" borderId="21" xfId="0" applyFill="1" applyBorder="1" applyAlignment="1">
      <alignment horizontal="center" vertical="center" wrapText="1"/>
    </xf>
    <xf numFmtId="0" fontId="5" fillId="34" borderId="0" xfId="89" applyFont="1" applyFill="1" applyAlignment="1">
      <alignment horizontal="center" vertical="center"/>
      <protection/>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0" fontId="5" fillId="34" borderId="0" xfId="89" applyFont="1" applyFill="1" applyAlignment="1" applyProtection="1">
      <alignment horizontal="center" vertical="center" wrapText="1"/>
      <protection/>
    </xf>
    <xf numFmtId="0" fontId="5" fillId="34" borderId="0" xfId="89" applyFont="1" applyFill="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37" fontId="4" fillId="34" borderId="0" xfId="87" applyNumberFormat="1" applyFont="1" applyFill="1" applyAlignment="1" applyProtection="1">
      <alignment horizontal="center" vertical="center"/>
      <protection/>
    </xf>
    <xf numFmtId="0" fontId="0" fillId="0" borderId="0" xfId="87" applyAlignment="1">
      <alignment horizontal="center" vertical="center"/>
      <protection/>
    </xf>
    <xf numFmtId="0" fontId="4" fillId="34" borderId="0" xfId="0" applyFont="1" applyFill="1" applyAlignment="1" applyProtection="1">
      <alignment horizontal="center" vertical="center"/>
      <protection/>
    </xf>
    <xf numFmtId="0" fontId="5" fillId="34" borderId="18" xfId="0" applyFont="1" applyFill="1" applyBorder="1" applyAlignment="1" applyProtection="1">
      <alignment horizontal="center"/>
      <protection/>
    </xf>
    <xf numFmtId="0" fontId="0" fillId="0" borderId="21" xfId="0" applyBorder="1" applyAlignment="1" applyProtection="1">
      <alignment/>
      <protection/>
    </xf>
    <xf numFmtId="1" fontId="5" fillId="34" borderId="18" xfId="0" applyNumberFormat="1" applyFont="1" applyFill="1" applyBorder="1" applyAlignment="1" applyProtection="1">
      <alignment horizontal="center"/>
      <protection/>
    </xf>
    <xf numFmtId="0" fontId="0" fillId="0" borderId="21" xfId="0" applyBorder="1" applyAlignment="1" applyProtection="1">
      <alignment horizontal="center"/>
      <protection/>
    </xf>
    <xf numFmtId="0" fontId="4" fillId="40" borderId="0" xfId="97" applyFont="1" applyFill="1" applyAlignment="1">
      <alignment horizontal="center" vertical="center"/>
      <protection/>
    </xf>
    <xf numFmtId="0" fontId="14" fillId="40" borderId="0" xfId="97" applyFont="1" applyFill="1" applyAlignment="1">
      <alignment horizontal="center" vertical="center"/>
      <protection/>
    </xf>
    <xf numFmtId="0" fontId="5" fillId="40" borderId="0" xfId="97" applyFont="1" applyFill="1" applyAlignment="1">
      <alignment vertical="center" wrapText="1"/>
      <protection/>
    </xf>
    <xf numFmtId="0" fontId="14" fillId="40" borderId="0" xfId="562" applyFont="1" applyFill="1" applyAlignment="1">
      <alignment horizontal="center"/>
      <protection/>
    </xf>
    <xf numFmtId="0" fontId="0" fillId="40" borderId="0" xfId="97" applyFill="1" applyAlignment="1">
      <alignment horizont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5" fillId="34" borderId="22" xfId="120" applyNumberFormat="1" applyFont="1" applyFill="1" applyBorder="1" applyAlignment="1" applyProtection="1">
      <alignment horizontal="right" vertical="center"/>
      <protection/>
    </xf>
    <xf numFmtId="0" fontId="0" fillId="0" borderId="13" xfId="120" applyBorder="1" applyAlignment="1">
      <alignment horizontal="right" vertical="center"/>
      <protection/>
    </xf>
    <xf numFmtId="0" fontId="5" fillId="34" borderId="0" xfId="120" applyFont="1" applyFill="1" applyAlignment="1" applyProtection="1">
      <alignment horizontal="right" vertical="center"/>
      <protection/>
    </xf>
    <xf numFmtId="0" fontId="5" fillId="0" borderId="23" xfId="120" applyFont="1" applyBorder="1" applyAlignment="1">
      <alignment horizontal="right" vertical="center"/>
      <protection/>
    </xf>
    <xf numFmtId="0" fontId="37" fillId="40" borderId="14" xfId="115" applyFont="1" applyFill="1" applyBorder="1" applyAlignment="1" applyProtection="1">
      <alignment horizontal="center" vertical="center"/>
      <protection/>
    </xf>
    <xf numFmtId="0" fontId="37" fillId="40" borderId="22" xfId="115" applyFont="1" applyFill="1" applyBorder="1" applyAlignment="1" applyProtection="1">
      <alignment horizontal="center" vertical="center"/>
      <protection/>
    </xf>
    <xf numFmtId="0" fontId="0" fillId="0" borderId="13" xfId="115" applyBorder="1" applyAlignment="1" applyProtection="1">
      <alignment vertical="center"/>
      <protection/>
    </xf>
    <xf numFmtId="0" fontId="0" fillId="0" borderId="22" xfId="0" applyBorder="1" applyAlignment="1">
      <alignment vertical="center"/>
    </xf>
    <xf numFmtId="0" fontId="0" fillId="0" borderId="13" xfId="0" applyBorder="1" applyAlignment="1">
      <alignment vertical="center"/>
    </xf>
    <xf numFmtId="188" fontId="37" fillId="40" borderId="14" xfId="0" applyNumberFormat="1" applyFont="1" applyFill="1" applyBorder="1" applyAlignment="1" applyProtection="1">
      <alignment horizontal="center"/>
      <protection/>
    </xf>
    <xf numFmtId="0" fontId="16" fillId="0" borderId="22" xfId="0" applyFont="1" applyBorder="1" applyAlignment="1">
      <alignment/>
    </xf>
    <xf numFmtId="0" fontId="16" fillId="0" borderId="13" xfId="0" applyFont="1" applyBorder="1" applyAlignment="1">
      <alignment/>
    </xf>
    <xf numFmtId="0" fontId="37" fillId="40" borderId="14" xfId="0" applyFont="1" applyFill="1" applyBorder="1" applyAlignment="1" applyProtection="1">
      <alignment horizontal="center" vertical="center"/>
      <protection/>
    </xf>
    <xf numFmtId="0" fontId="39" fillId="40" borderId="14" xfId="115" applyFont="1" applyFill="1" applyBorder="1" applyAlignment="1" applyProtection="1">
      <alignment horizontal="center" vertical="center"/>
      <protection/>
    </xf>
    <xf numFmtId="0" fontId="0" fillId="0" borderId="22" xfId="0" applyBorder="1" applyAlignment="1">
      <alignment horizontal="center" vertical="center"/>
    </xf>
    <xf numFmtId="0" fontId="42" fillId="0" borderId="22" xfId="0" applyFont="1" applyBorder="1" applyAlignment="1">
      <alignment horizontal="center" vertical="center"/>
    </xf>
    <xf numFmtId="0" fontId="0" fillId="0" borderId="13" xfId="0" applyBorder="1" applyAlignment="1">
      <alignment/>
    </xf>
    <xf numFmtId="0" fontId="0" fillId="0" borderId="0" xfId="0" applyBorder="1" applyAlignment="1">
      <alignment horizontal="right" vertical="center"/>
    </xf>
    <xf numFmtId="0" fontId="4" fillId="34" borderId="11" xfId="0" applyFont="1" applyFill="1" applyBorder="1" applyAlignment="1">
      <alignment horizontal="center" vertical="center"/>
    </xf>
    <xf numFmtId="0" fontId="4" fillId="34" borderId="19" xfId="0" applyFont="1" applyFill="1" applyBorder="1" applyAlignment="1">
      <alignment horizontal="center" vertical="center"/>
    </xf>
    <xf numFmtId="0" fontId="14" fillId="40" borderId="14" xfId="116" applyFont="1" applyFill="1" applyBorder="1" applyAlignment="1" applyProtection="1">
      <alignment horizontal="center"/>
      <protection/>
    </xf>
    <xf numFmtId="0" fontId="0" fillId="0" borderId="22" xfId="0" applyBorder="1" applyAlignment="1">
      <alignment horizontal="center"/>
    </xf>
    <xf numFmtId="0" fontId="0" fillId="0" borderId="13" xfId="0" applyBorder="1" applyAlignment="1">
      <alignment horizontal="center"/>
    </xf>
    <xf numFmtId="0" fontId="14" fillId="40" borderId="22" xfId="116" applyFont="1" applyFill="1" applyBorder="1" applyAlignment="1" applyProtection="1">
      <alignment horizontal="center"/>
      <protection/>
    </xf>
    <xf numFmtId="0" fontId="14" fillId="40" borderId="13" xfId="116" applyFont="1" applyFill="1" applyBorder="1" applyAlignment="1" applyProtection="1">
      <alignment horizontal="center"/>
      <protection/>
    </xf>
    <xf numFmtId="0" fontId="0" fillId="0" borderId="22" xfId="116" applyBorder="1" applyAlignment="1" applyProtection="1">
      <alignment horizontal="center"/>
      <protection/>
    </xf>
    <xf numFmtId="0" fontId="0" fillId="0" borderId="13" xfId="116" applyBorder="1" applyAlignment="1" applyProtection="1">
      <alignment horizontal="center"/>
      <protection/>
    </xf>
    <xf numFmtId="37" fontId="5" fillId="34" borderId="0" xfId="0" applyNumberFormat="1" applyFont="1" applyFill="1" applyBorder="1" applyAlignment="1" applyProtection="1">
      <alignment horizontal="center" vertical="center"/>
      <protection/>
    </xf>
    <xf numFmtId="49" fontId="5" fillId="40" borderId="0" xfId="0" applyNumberFormat="1" applyFont="1" applyFill="1" applyBorder="1" applyAlignment="1" applyProtection="1">
      <alignment horizontal="left" vertical="center"/>
      <protection locked="0"/>
    </xf>
    <xf numFmtId="0" fontId="0" fillId="40" borderId="0" xfId="0" applyFill="1" applyBorder="1" applyAlignment="1" applyProtection="1">
      <alignment horizontal="left" vertical="center"/>
      <protection locked="0"/>
    </xf>
    <xf numFmtId="37" fontId="5" fillId="34" borderId="22"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center" vertical="center"/>
      <protection locked="0"/>
    </xf>
    <xf numFmtId="0" fontId="1" fillId="0" borderId="17" xfId="0" applyFont="1" applyBorder="1" applyAlignment="1">
      <alignment horizontal="center" vertical="center"/>
    </xf>
    <xf numFmtId="37" fontId="4" fillId="40" borderId="0" xfId="0" applyNumberFormat="1" applyFont="1" applyFill="1" applyAlignment="1" applyProtection="1">
      <alignment horizontal="center" vertical="center"/>
      <protection/>
    </xf>
    <xf numFmtId="0" fontId="5" fillId="40" borderId="0" xfId="0" applyFont="1" applyFill="1" applyAlignment="1" applyProtection="1">
      <alignment horizontal="center" vertical="center"/>
      <protection/>
    </xf>
    <xf numFmtId="0" fontId="0" fillId="0" borderId="0" xfId="0" applyFont="1" applyAlignment="1">
      <alignment vertical="center"/>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88" fillId="45" borderId="28" xfId="445" applyFont="1" applyFill="1" applyBorder="1" applyAlignment="1">
      <alignment horizontal="left" vertical="top" wrapText="1"/>
      <protection/>
    </xf>
    <xf numFmtId="0" fontId="88" fillId="45" borderId="34" xfId="445" applyFont="1" applyFill="1" applyBorder="1" applyAlignment="1">
      <alignment horizontal="left" vertical="top" wrapText="1"/>
      <protection/>
    </xf>
    <xf numFmtId="0" fontId="88" fillId="45" borderId="39" xfId="445" applyFont="1" applyFill="1" applyBorder="1" applyAlignment="1">
      <alignment horizontal="left" vertical="top" wrapText="1"/>
      <protection/>
    </xf>
    <xf numFmtId="0" fontId="104" fillId="45" borderId="46" xfId="445" applyFont="1" applyFill="1" applyBorder="1" applyAlignment="1">
      <alignment horizontal="center"/>
      <protection/>
    </xf>
    <xf numFmtId="0" fontId="73" fillId="45" borderId="47" xfId="445" applyFill="1" applyBorder="1" applyAlignment="1">
      <alignment horizontal="center"/>
      <protection/>
    </xf>
    <xf numFmtId="0" fontId="73" fillId="45" borderId="48" xfId="445" applyFill="1" applyBorder="1" applyAlignment="1">
      <alignment horizontal="center"/>
      <protection/>
    </xf>
    <xf numFmtId="0" fontId="88" fillId="45" borderId="29" xfId="445" applyFont="1" applyFill="1" applyBorder="1" applyAlignment="1">
      <alignment horizontal="center"/>
      <protection/>
    </xf>
    <xf numFmtId="0" fontId="88" fillId="45" borderId="35" xfId="445" applyFont="1" applyFill="1" applyBorder="1" applyAlignment="1">
      <alignment horizontal="center"/>
      <protection/>
    </xf>
    <xf numFmtId="0" fontId="88" fillId="45" borderId="36" xfId="445" applyFont="1" applyFill="1" applyBorder="1" applyAlignment="1">
      <alignment horizontal="center"/>
      <protection/>
    </xf>
    <xf numFmtId="0" fontId="104" fillId="0" borderId="46" xfId="445" applyFont="1" applyBorder="1" applyAlignment="1">
      <alignment horizontal="center"/>
      <protection/>
    </xf>
    <xf numFmtId="0" fontId="104" fillId="0" borderId="47" xfId="445" applyFont="1" applyBorder="1" applyAlignment="1">
      <alignment horizontal="center"/>
      <protection/>
    </xf>
    <xf numFmtId="0" fontId="104" fillId="0" borderId="48" xfId="445" applyFont="1" applyBorder="1" applyAlignment="1">
      <alignment horizontal="center"/>
      <protection/>
    </xf>
    <xf numFmtId="0" fontId="88" fillId="45" borderId="30" xfId="445" applyFont="1" applyFill="1" applyBorder="1" applyAlignment="1">
      <alignment horizontal="center"/>
      <protection/>
    </xf>
    <xf numFmtId="0" fontId="88" fillId="45" borderId="0" xfId="445" applyFont="1" applyFill="1" applyBorder="1" applyAlignment="1">
      <alignment horizontal="center"/>
      <protection/>
    </xf>
    <xf numFmtId="0" fontId="88" fillId="45" borderId="37" xfId="445" applyFont="1" applyFill="1" applyBorder="1" applyAlignment="1">
      <alignment horizontal="center"/>
      <protection/>
    </xf>
    <xf numFmtId="0" fontId="92" fillId="40" borderId="0" xfId="0" applyFont="1" applyFill="1" applyAlignment="1">
      <alignment horizontal="center" wrapText="1"/>
    </xf>
    <xf numFmtId="0" fontId="33" fillId="0" borderId="0" xfId="0" applyFont="1" applyAlignment="1">
      <alignment horizontal="center" wrapText="1"/>
    </xf>
    <xf numFmtId="0" fontId="92" fillId="40" borderId="0" xfId="0" applyFont="1" applyFill="1" applyAlignment="1">
      <alignment horizontal="center" vertical="center"/>
    </xf>
    <xf numFmtId="0" fontId="92" fillId="0" borderId="0" xfId="0" applyFont="1" applyAlignment="1">
      <alignment horizontal="center" vertical="center"/>
    </xf>
    <xf numFmtId="0" fontId="92" fillId="40" borderId="0" xfId="0" applyFont="1" applyFill="1" applyAlignment="1">
      <alignment horizontal="center"/>
    </xf>
    <xf numFmtId="0" fontId="33" fillId="40" borderId="0" xfId="0" applyFont="1" applyFill="1" applyAlignment="1">
      <alignment wrapText="1"/>
    </xf>
    <xf numFmtId="194" fontId="33" fillId="40" borderId="0" xfId="0" applyNumberFormat="1" applyFont="1" applyFill="1" applyAlignment="1">
      <alignment/>
    </xf>
    <xf numFmtId="194" fontId="33" fillId="41" borderId="17" xfId="0" applyNumberFormat="1" applyFont="1" applyFill="1" applyBorder="1" applyAlignment="1" applyProtection="1">
      <alignment horizontal="center"/>
      <protection locked="0"/>
    </xf>
    <xf numFmtId="0" fontId="33" fillId="0" borderId="0" xfId="0" applyFont="1" applyAlignment="1">
      <alignment wrapText="1"/>
    </xf>
    <xf numFmtId="0" fontId="33" fillId="40" borderId="34" xfId="0" applyFont="1" applyFill="1" applyBorder="1" applyAlignment="1">
      <alignment/>
    </xf>
    <xf numFmtId="0" fontId="33" fillId="40" borderId="39" xfId="0" applyFont="1" applyFill="1" applyBorder="1" applyAlignment="1">
      <alignment/>
    </xf>
    <xf numFmtId="0" fontId="92" fillId="40" borderId="35" xfId="0" applyFont="1" applyFill="1" applyBorder="1" applyAlignment="1">
      <alignment horizontal="center" vertical="center"/>
    </xf>
    <xf numFmtId="0" fontId="33" fillId="40" borderId="0" xfId="0" applyFont="1" applyFill="1" applyBorder="1" applyAlignment="1">
      <alignment horizontal="center"/>
    </xf>
    <xf numFmtId="5" fontId="33" fillId="40" borderId="17" xfId="0" applyNumberFormat="1" applyFont="1" applyFill="1" applyBorder="1" applyAlignment="1">
      <alignment horizontal="center"/>
    </xf>
    <xf numFmtId="194" fontId="33" fillId="40" borderId="0" xfId="0" applyNumberFormat="1" applyFont="1" applyFill="1" applyAlignment="1">
      <alignment horizontal="center"/>
    </xf>
    <xf numFmtId="194" fontId="33" fillId="41" borderId="31" xfId="0" applyNumberFormat="1" applyFont="1" applyFill="1" applyBorder="1" applyAlignment="1" applyProtection="1">
      <alignment horizontal="center"/>
      <protection locked="0"/>
    </xf>
    <xf numFmtId="0" fontId="33" fillId="40" borderId="0" xfId="0" applyFont="1" applyFill="1" applyBorder="1" applyAlignment="1">
      <alignment/>
    </xf>
    <xf numFmtId="0" fontId="33" fillId="0" borderId="0" xfId="0" applyFont="1" applyBorder="1" applyAlignment="1">
      <alignment/>
    </xf>
    <xf numFmtId="0" fontId="33" fillId="0" borderId="35" xfId="0" applyFont="1" applyBorder="1" applyAlignment="1">
      <alignment horizontal="center" vertical="center"/>
    </xf>
    <xf numFmtId="0" fontId="92" fillId="40" borderId="0" xfId="0" applyFont="1" applyFill="1" applyBorder="1" applyAlignment="1">
      <alignment horizontal="center" wrapText="1"/>
    </xf>
    <xf numFmtId="0" fontId="92" fillId="0" borderId="0" xfId="0" applyFont="1" applyAlignment="1">
      <alignment horizontal="center" wrapText="1"/>
    </xf>
    <xf numFmtId="0" fontId="33" fillId="40" borderId="0" xfId="0" applyFont="1" applyFill="1" applyBorder="1" applyAlignment="1">
      <alignment wrapText="1"/>
    </xf>
    <xf numFmtId="178" fontId="33" fillId="41" borderId="17" xfId="0" applyNumberFormat="1" applyFont="1" applyFill="1" applyBorder="1" applyAlignment="1" applyProtection="1">
      <alignment horizontal="center"/>
      <protection locked="0"/>
    </xf>
    <xf numFmtId="195" fontId="33" fillId="40" borderId="0" xfId="0" applyNumberFormat="1" applyFont="1" applyFill="1" applyBorder="1" applyAlignment="1">
      <alignment horizontal="center"/>
    </xf>
    <xf numFmtId="195" fontId="33" fillId="0" borderId="37" xfId="0" applyNumberFormat="1" applyFont="1" applyBorder="1" applyAlignment="1">
      <alignment horizontal="center"/>
    </xf>
    <xf numFmtId="194" fontId="33" fillId="40" borderId="0" xfId="0" applyNumberFormat="1" applyFont="1" applyFill="1" applyBorder="1" applyAlignment="1">
      <alignment horizontal="center"/>
    </xf>
    <xf numFmtId="0" fontId="33" fillId="40" borderId="22" xfId="0" applyFont="1" applyFill="1" applyBorder="1" applyAlignment="1">
      <alignment horizontal="center"/>
    </xf>
    <xf numFmtId="0" fontId="33" fillId="40" borderId="30" xfId="0" applyFont="1" applyFill="1" applyBorder="1" applyAlignment="1">
      <alignment vertical="top" wrapText="1"/>
    </xf>
    <xf numFmtId="0" fontId="33" fillId="0" borderId="0" xfId="0" applyFont="1" applyAlignment="1">
      <alignment vertical="top" wrapText="1"/>
    </xf>
    <xf numFmtId="0" fontId="33" fillId="0" borderId="37" xfId="0" applyFont="1" applyBorder="1" applyAlignment="1">
      <alignment vertical="top" wrapText="1"/>
    </xf>
    <xf numFmtId="0" fontId="33" fillId="0" borderId="37" xfId="0" applyFont="1" applyBorder="1" applyAlignment="1">
      <alignment horizontal="center"/>
    </xf>
    <xf numFmtId="186" fontId="5" fillId="34" borderId="17" xfId="89" applyNumberFormat="1" applyFont="1" applyFill="1" applyBorder="1" applyAlignment="1" applyProtection="1">
      <alignment vertical="center"/>
      <protection/>
    </xf>
  </cellXfs>
  <cellStyles count="5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3 3" xfId="51"/>
    <cellStyle name="Comma 4" xfId="52"/>
    <cellStyle name="Comma 4 2" xfId="53"/>
    <cellStyle name="Comma 6" xfId="54"/>
    <cellStyle name="Comma 6 2"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3 2" xfId="93"/>
    <cellStyle name="Normal 10 4" xfId="94"/>
    <cellStyle name="Normal 10 4 2" xfId="95"/>
    <cellStyle name="Normal 10 4 3" xfId="96"/>
    <cellStyle name="Normal 10 5" xfId="97"/>
    <cellStyle name="Normal 10 5 2" xfId="98"/>
    <cellStyle name="Normal 10 5 3" xfId="99"/>
    <cellStyle name="Normal 10 6" xfId="100"/>
    <cellStyle name="Normal 10 6 2" xfId="101"/>
    <cellStyle name="Normal 10 6 3" xfId="102"/>
    <cellStyle name="Normal 10 7" xfId="103"/>
    <cellStyle name="Normal 10 7 2" xfId="104"/>
    <cellStyle name="Normal 11" xfId="105"/>
    <cellStyle name="Normal 11 2" xfId="106"/>
    <cellStyle name="Normal 11 2 2" xfId="107"/>
    <cellStyle name="Normal 11 2 3" xfId="108"/>
    <cellStyle name="Normal 11 3" xfId="109"/>
    <cellStyle name="Normal 11 4" xfId="110"/>
    <cellStyle name="Normal 11 5" xfId="111"/>
    <cellStyle name="Normal 11 5 2" xfId="112"/>
    <cellStyle name="Normal 11 5 3" xfId="113"/>
    <cellStyle name="Normal 11 6" xfId="114"/>
    <cellStyle name="Normal 12" xfId="115"/>
    <cellStyle name="Normal 12 10" xfId="116"/>
    <cellStyle name="Normal 12 11" xfId="117"/>
    <cellStyle name="Normal 12 12" xfId="118"/>
    <cellStyle name="Normal 12 13" xfId="119"/>
    <cellStyle name="Normal 12 2" xfId="120"/>
    <cellStyle name="Normal 12 2 2" xfId="121"/>
    <cellStyle name="Normal 12 3" xfId="122"/>
    <cellStyle name="Normal 12 4" xfId="123"/>
    <cellStyle name="Normal 12 5" xfId="124"/>
    <cellStyle name="Normal 12 6" xfId="125"/>
    <cellStyle name="Normal 12 7" xfId="126"/>
    <cellStyle name="Normal 12 8" xfId="127"/>
    <cellStyle name="Normal 12 9" xfId="128"/>
    <cellStyle name="Normal 13" xfId="129"/>
    <cellStyle name="Normal 13 10" xfId="130"/>
    <cellStyle name="Normal 13 11" xfId="131"/>
    <cellStyle name="Normal 13 12" xfId="132"/>
    <cellStyle name="Normal 13 13" xfId="133"/>
    <cellStyle name="Normal 13 2" xfId="134"/>
    <cellStyle name="Normal 13 2 2" xfId="135"/>
    <cellStyle name="Normal 13 3" xfId="136"/>
    <cellStyle name="Normal 13 4" xfId="137"/>
    <cellStyle name="Normal 13 5" xfId="138"/>
    <cellStyle name="Normal 13 6" xfId="139"/>
    <cellStyle name="Normal 13 7" xfId="140"/>
    <cellStyle name="Normal 13 8" xfId="141"/>
    <cellStyle name="Normal 13 9" xfId="142"/>
    <cellStyle name="Normal 14" xfId="143"/>
    <cellStyle name="Normal 14 2" xfId="144"/>
    <cellStyle name="Normal 14 3" xfId="145"/>
    <cellStyle name="Normal 14 4" xfId="146"/>
    <cellStyle name="Normal 14 5" xfId="147"/>
    <cellStyle name="Normal 14 6" xfId="148"/>
    <cellStyle name="Normal 14 7" xfId="149"/>
    <cellStyle name="Normal 14 7 2"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2 2 3" xfId="194"/>
    <cellStyle name="Normal 2 10 11 3" xfId="195"/>
    <cellStyle name="Normal 2 10 11 4" xfId="196"/>
    <cellStyle name="Normal 2 10 11 5" xfId="197"/>
    <cellStyle name="Normal 2 10 12" xfId="198"/>
    <cellStyle name="Normal 2 10 2" xfId="199"/>
    <cellStyle name="Normal 2 10 2 2" xfId="200"/>
    <cellStyle name="Normal 2 10 3" xfId="201"/>
    <cellStyle name="Normal 2 10 3 2" xfId="202"/>
    <cellStyle name="Normal 2 10 4" xfId="203"/>
    <cellStyle name="Normal 2 10 4 2" xfId="204"/>
    <cellStyle name="Normal 2 10 5" xfId="205"/>
    <cellStyle name="Normal 2 10 5 2" xfId="206"/>
    <cellStyle name="Normal 2 10 6" xfId="207"/>
    <cellStyle name="Normal 2 10 6 2" xfId="208"/>
    <cellStyle name="Normal 2 10 7" xfId="209"/>
    <cellStyle name="Normal 2 10 7 2" xfId="210"/>
    <cellStyle name="Normal 2 10 8" xfId="211"/>
    <cellStyle name="Normal 2 10 8 2" xfId="212"/>
    <cellStyle name="Normal 2 10 9" xfId="213"/>
    <cellStyle name="Normal 2 11" xfId="214"/>
    <cellStyle name="Normal 2 11 10" xfId="215"/>
    <cellStyle name="Normal 2 11 11" xfId="216"/>
    <cellStyle name="Normal 2 11 2" xfId="217"/>
    <cellStyle name="Normal 2 11 2 2" xfId="218"/>
    <cellStyle name="Normal 2 11 3" xfId="219"/>
    <cellStyle name="Normal 2 11 3 2" xfId="220"/>
    <cellStyle name="Normal 2 11 4" xfId="221"/>
    <cellStyle name="Normal 2 11 4 2" xfId="222"/>
    <cellStyle name="Normal 2 11 5" xfId="223"/>
    <cellStyle name="Normal 2 11 5 2" xfId="224"/>
    <cellStyle name="Normal 2 11 6" xfId="225"/>
    <cellStyle name="Normal 2 11 6 2" xfId="226"/>
    <cellStyle name="Normal 2 11 7" xfId="227"/>
    <cellStyle name="Normal 2 11 7 2" xfId="228"/>
    <cellStyle name="Normal 2 11 8" xfId="229"/>
    <cellStyle name="Normal 2 11 8 2" xfId="230"/>
    <cellStyle name="Normal 2 11 9" xfId="231"/>
    <cellStyle name="Normal 2 12" xfId="232"/>
    <cellStyle name="Normal 2 13" xfId="233"/>
    <cellStyle name="Normal 2 14" xfId="234"/>
    <cellStyle name="Normal 2 15" xfId="235"/>
    <cellStyle name="Normal 2 16" xfId="236"/>
    <cellStyle name="Normal 2 17" xfId="237"/>
    <cellStyle name="Normal 2 17 2" xfId="238"/>
    <cellStyle name="Normal 2 17 3"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2" xfId="389"/>
    <cellStyle name="Normal 2 7 2 2" xfId="390"/>
    <cellStyle name="Normal 2 7 2 3" xfId="391"/>
    <cellStyle name="Normal 2 7 3" xfId="392"/>
    <cellStyle name="Normal 2 7 3 2" xfId="393"/>
    <cellStyle name="Normal 2 7 4" xfId="394"/>
    <cellStyle name="Normal 2 7 4 2" xfId="395"/>
    <cellStyle name="Normal 2 7 5" xfId="396"/>
    <cellStyle name="Normal 2 7 5 2" xfId="397"/>
    <cellStyle name="Normal 2 7 6" xfId="398"/>
    <cellStyle name="Normal 2 7 6 2" xfId="399"/>
    <cellStyle name="Normal 2 7 7" xfId="400"/>
    <cellStyle name="Normal 2 7 7 2" xfId="401"/>
    <cellStyle name="Normal 2 7 8" xfId="402"/>
    <cellStyle name="Normal 2 7 8 2" xfId="403"/>
    <cellStyle name="Normal 2 7 9" xfId="404"/>
    <cellStyle name="Normal 2 8" xfId="405"/>
    <cellStyle name="Normal 2 8 10" xfId="406"/>
    <cellStyle name="Normal 2 8 11" xfId="407"/>
    <cellStyle name="Normal 2 8 2" xfId="408"/>
    <cellStyle name="Normal 2 8 2 2" xfId="409"/>
    <cellStyle name="Normal 2 8 3" xfId="410"/>
    <cellStyle name="Normal 2 8 3 2" xfId="411"/>
    <cellStyle name="Normal 2 8 4" xfId="412"/>
    <cellStyle name="Normal 2 8 4 2" xfId="413"/>
    <cellStyle name="Normal 2 8 5" xfId="414"/>
    <cellStyle name="Normal 2 8 5 2" xfId="415"/>
    <cellStyle name="Normal 2 8 6" xfId="416"/>
    <cellStyle name="Normal 2 8 6 2" xfId="417"/>
    <cellStyle name="Normal 2 8 7" xfId="418"/>
    <cellStyle name="Normal 2 8 7 2" xfId="419"/>
    <cellStyle name="Normal 2 8 8" xfId="420"/>
    <cellStyle name="Normal 2 8 8 2" xfId="421"/>
    <cellStyle name="Normal 2 8 9" xfId="422"/>
    <cellStyle name="Normal 2 9" xfId="423"/>
    <cellStyle name="Normal 2 9 10" xfId="424"/>
    <cellStyle name="Normal 2 9 11" xfId="425"/>
    <cellStyle name="Normal 2 9 2" xfId="426"/>
    <cellStyle name="Normal 2 9 2 2" xfId="427"/>
    <cellStyle name="Normal 2 9 3" xfId="428"/>
    <cellStyle name="Normal 2 9 3 2" xfId="429"/>
    <cellStyle name="Normal 2 9 4" xfId="430"/>
    <cellStyle name="Normal 2 9 4 2" xfId="431"/>
    <cellStyle name="Normal 2 9 5" xfId="432"/>
    <cellStyle name="Normal 2 9 5 2" xfId="433"/>
    <cellStyle name="Normal 2 9 6" xfId="434"/>
    <cellStyle name="Normal 2 9 6 2" xfId="435"/>
    <cellStyle name="Normal 2 9 7" xfId="436"/>
    <cellStyle name="Normal 2 9 7 2" xfId="437"/>
    <cellStyle name="Normal 2 9 8" xfId="438"/>
    <cellStyle name="Normal 2 9 8 2" xfId="439"/>
    <cellStyle name="Normal 2 9 9" xfId="440"/>
    <cellStyle name="Normal 20" xfId="441"/>
    <cellStyle name="Normal 20 2" xfId="442"/>
    <cellStyle name="Normal 20 3" xfId="443"/>
    <cellStyle name="Normal 21" xfId="444"/>
    <cellStyle name="Normal 21 2" xfId="445"/>
    <cellStyle name="Normal 21 2 2" xfId="446"/>
    <cellStyle name="Normal 21 2 3" xfId="447"/>
    <cellStyle name="Normal 21 3" xfId="448"/>
    <cellStyle name="Normal 21 4" xfId="449"/>
    <cellStyle name="Normal 21 5" xfId="450"/>
    <cellStyle name="Normal 22" xfId="451"/>
    <cellStyle name="Normal 22 2" xfId="452"/>
    <cellStyle name="Normal 22 3" xfId="453"/>
    <cellStyle name="Normal 23" xfId="454"/>
    <cellStyle name="Normal 23 2" xfId="455"/>
    <cellStyle name="Normal 23 3" xfId="456"/>
    <cellStyle name="Normal 24" xfId="457"/>
    <cellStyle name="Normal 24 2" xfId="458"/>
    <cellStyle name="Normal 24 3" xfId="459"/>
    <cellStyle name="Normal 25" xfId="460"/>
    <cellStyle name="Normal 25 2" xfId="461"/>
    <cellStyle name="Normal 25 3" xfId="462"/>
    <cellStyle name="Normal 26" xfId="463"/>
    <cellStyle name="Normal 27" xfId="464"/>
    <cellStyle name="Normal 27 2"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6" xfId="535"/>
    <cellStyle name="Normal 6 2" xfId="536"/>
    <cellStyle name="Normal 6 3" xfId="537"/>
    <cellStyle name="Normal 6 4" xfId="538"/>
    <cellStyle name="Normal 6 5" xfId="539"/>
    <cellStyle name="Normal 7" xfId="540"/>
    <cellStyle name="Normal 7 2" xfId="541"/>
    <cellStyle name="Normal 7 2 2" xfId="542"/>
    <cellStyle name="Normal 7 2 2 2" xfId="543"/>
    <cellStyle name="Normal 7 2 2 3" xfId="544"/>
    <cellStyle name="Normal 7 2 3" xfId="545"/>
    <cellStyle name="Normal 7 2 4" xfId="546"/>
    <cellStyle name="Normal 7 2 4 2" xfId="547"/>
    <cellStyle name="Normal 7 2 4 3" xfId="548"/>
    <cellStyle name="Normal 7 2 5" xfId="549"/>
    <cellStyle name="Normal 7 3" xfId="550"/>
    <cellStyle name="Normal 7 4" xfId="551"/>
    <cellStyle name="Normal 7 4 2" xfId="552"/>
    <cellStyle name="Normal 7 4 3" xfId="553"/>
    <cellStyle name="Normal 7 5" xfId="554"/>
    <cellStyle name="Normal 7 5 2" xfId="555"/>
    <cellStyle name="Normal 7 5 3" xfId="556"/>
    <cellStyle name="Normal 7 5 4" xfId="557"/>
    <cellStyle name="Normal 7 5 5" xfId="558"/>
    <cellStyle name="Normal 7 6" xfId="559"/>
    <cellStyle name="Normal 7 7" xfId="560"/>
    <cellStyle name="Normal 8" xfId="561"/>
    <cellStyle name="Normal 8 2" xfId="562"/>
    <cellStyle name="Normal 8 3" xfId="563"/>
    <cellStyle name="Normal 9" xfId="564"/>
    <cellStyle name="Normal 9 2" xfId="565"/>
    <cellStyle name="Normal 9 2 2" xfId="566"/>
    <cellStyle name="Normal 9 2 3" xfId="567"/>
    <cellStyle name="Normal 9 3" xfId="568"/>
    <cellStyle name="Normal 9 4" xfId="569"/>
    <cellStyle name="Normal 9 5" xfId="570"/>
    <cellStyle name="Normal 9 5 2" xfId="571"/>
    <cellStyle name="Normal 9 5 3" xfId="572"/>
    <cellStyle name="Normal 9 6" xfId="573"/>
    <cellStyle name="Normal 9 6 2" xfId="574"/>
    <cellStyle name="Normal 9 6 3" xfId="575"/>
    <cellStyle name="Normal_debt" xfId="576"/>
    <cellStyle name="Normal_lpform" xfId="577"/>
    <cellStyle name="Note" xfId="578"/>
    <cellStyle name="Output" xfId="579"/>
    <cellStyle name="Percent" xfId="580"/>
    <cellStyle name="Title" xfId="581"/>
    <cellStyle name="Total" xfId="582"/>
    <cellStyle name="Warning Text" xfId="583"/>
  </cellStyles>
  <dxfs count="32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6"/>
  <sheetViews>
    <sheetView tabSelected="1" zoomScale="80" zoomScaleNormal="80" zoomScalePageLayoutView="0" workbookViewId="0" topLeftCell="A1">
      <selection activeCell="R96" sqref="R96"/>
    </sheetView>
  </sheetViews>
  <sheetFormatPr defaultColWidth="8.796875" defaultRowHeight="15"/>
  <cols>
    <col min="1" max="1" width="75.796875" style="65" customWidth="1"/>
    <col min="2" max="16384" width="8.8984375" style="65" customWidth="1"/>
  </cols>
  <sheetData>
    <row r="1" ht="15.75">
      <c r="A1" s="64" t="s">
        <v>998</v>
      </c>
    </row>
    <row r="3" ht="39.75" customHeight="1">
      <c r="A3" s="2" t="s">
        <v>946</v>
      </c>
    </row>
    <row r="4" ht="15.75">
      <c r="A4" s="66"/>
    </row>
    <row r="5" ht="49.5" customHeight="1">
      <c r="A5" s="67" t="s">
        <v>157</v>
      </c>
    </row>
    <row r="6" ht="15.75">
      <c r="A6" s="67"/>
    </row>
    <row r="7" ht="85.5" customHeight="1">
      <c r="A7" s="67" t="s">
        <v>904</v>
      </c>
    </row>
    <row r="8" ht="15.75">
      <c r="A8" s="67"/>
    </row>
    <row r="9" ht="32.25" customHeight="1">
      <c r="A9" s="67" t="s">
        <v>120</v>
      </c>
    </row>
    <row r="11" ht="51" customHeight="1">
      <c r="A11" s="67" t="s">
        <v>221</v>
      </c>
    </row>
    <row r="13" ht="15.75">
      <c r="A13" s="64" t="s">
        <v>167</v>
      </c>
    </row>
    <row r="14" ht="15.75">
      <c r="A14" s="64"/>
    </row>
    <row r="15" ht="15.75">
      <c r="A15" s="66" t="s">
        <v>168</v>
      </c>
    </row>
    <row r="17" ht="43.5" customHeight="1">
      <c r="A17" s="68" t="s">
        <v>327</v>
      </c>
    </row>
    <row r="18" ht="9" customHeight="1">
      <c r="A18" s="68"/>
    </row>
    <row r="20" ht="15.75">
      <c r="A20" s="64" t="s">
        <v>236</v>
      </c>
    </row>
    <row r="22" ht="31.5">
      <c r="A22" s="67" t="s">
        <v>121</v>
      </c>
    </row>
    <row r="23" ht="15.75">
      <c r="A23" s="67"/>
    </row>
    <row r="24" ht="15.75">
      <c r="A24" s="69" t="s">
        <v>122</v>
      </c>
    </row>
    <row r="25" ht="12" customHeight="1">
      <c r="A25" s="67"/>
    </row>
    <row r="26" ht="15.75">
      <c r="A26" s="70" t="s">
        <v>50</v>
      </c>
    </row>
    <row r="27" ht="15.75">
      <c r="A27" s="71"/>
    </row>
    <row r="28" ht="84.75" customHeight="1">
      <c r="A28" s="72" t="s">
        <v>141</v>
      </c>
    </row>
    <row r="29" ht="12.75" customHeight="1">
      <c r="A29" s="73"/>
    </row>
    <row r="30" ht="15.75">
      <c r="A30" s="74" t="s">
        <v>123</v>
      </c>
    </row>
    <row r="31" ht="15.75">
      <c r="A31" s="73"/>
    </row>
    <row r="32" ht="15.75">
      <c r="A32" s="75" t="s">
        <v>166</v>
      </c>
    </row>
    <row r="33" ht="15.75">
      <c r="A33" s="73"/>
    </row>
    <row r="34" ht="15.75">
      <c r="A34" s="67" t="s">
        <v>326</v>
      </c>
    </row>
    <row r="36" ht="15.75">
      <c r="A36" s="64" t="s">
        <v>0</v>
      </c>
    </row>
    <row r="38" ht="66.75" customHeight="1">
      <c r="A38" s="67" t="s">
        <v>732</v>
      </c>
    </row>
    <row r="39" ht="35.25" customHeight="1">
      <c r="A39" s="67" t="s">
        <v>60</v>
      </c>
    </row>
    <row r="40" ht="41.25" customHeight="1">
      <c r="A40" s="67" t="s">
        <v>228</v>
      </c>
    </row>
    <row r="41" ht="53.25" customHeight="1">
      <c r="A41" s="76" t="s">
        <v>229</v>
      </c>
    </row>
    <row r="43" ht="84" customHeight="1">
      <c r="A43" s="67" t="s">
        <v>733</v>
      </c>
    </row>
    <row r="44" ht="53.25" customHeight="1">
      <c r="A44" s="67" t="s">
        <v>124</v>
      </c>
    </row>
    <row r="45" ht="98.25" customHeight="1">
      <c r="A45" s="67" t="s">
        <v>222</v>
      </c>
    </row>
    <row r="46" ht="15.75" customHeight="1">
      <c r="A46" s="67"/>
    </row>
    <row r="47" ht="75.75" customHeight="1">
      <c r="A47" s="728" t="s">
        <v>905</v>
      </c>
    </row>
    <row r="48" ht="68.25" customHeight="1">
      <c r="A48" s="383" t="s">
        <v>609</v>
      </c>
    </row>
    <row r="49" ht="68.25" customHeight="1">
      <c r="A49" s="729" t="s">
        <v>906</v>
      </c>
    </row>
    <row r="50" ht="13.5" customHeight="1">
      <c r="A50"/>
    </row>
    <row r="51" ht="70.5" customHeight="1">
      <c r="A51" s="67" t="s">
        <v>610</v>
      </c>
    </row>
    <row r="52" ht="39.75" customHeight="1">
      <c r="A52" s="67" t="s">
        <v>611</v>
      </c>
    </row>
    <row r="53" ht="88.5" customHeight="1">
      <c r="A53" s="67" t="s">
        <v>949</v>
      </c>
    </row>
    <row r="54" ht="29.25" customHeight="1">
      <c r="A54" s="510" t="s">
        <v>734</v>
      </c>
    </row>
    <row r="55" ht="102" customHeight="1">
      <c r="A55" s="510" t="s">
        <v>940</v>
      </c>
    </row>
    <row r="56" ht="13.5" customHeight="1">
      <c r="A56" s="67"/>
    </row>
    <row r="57" ht="75" customHeight="1">
      <c r="A57" s="67" t="s">
        <v>950</v>
      </c>
    </row>
    <row r="58" ht="150" customHeight="1">
      <c r="A58" s="67" t="s">
        <v>951</v>
      </c>
    </row>
    <row r="59" ht="47.25" customHeight="1">
      <c r="A59" s="67" t="s">
        <v>952</v>
      </c>
    </row>
    <row r="60" ht="8.25" customHeight="1">
      <c r="A60" s="67"/>
    </row>
    <row r="61" ht="73.5" customHeight="1">
      <c r="A61" s="730" t="s">
        <v>907</v>
      </c>
    </row>
    <row r="62" ht="15.75" customHeight="1">
      <c r="A62"/>
    </row>
    <row r="63" ht="78.75" customHeight="1">
      <c r="A63" s="67" t="s">
        <v>612</v>
      </c>
    </row>
    <row r="64" ht="36" customHeight="1">
      <c r="A64" s="67" t="s">
        <v>619</v>
      </c>
    </row>
    <row r="65" ht="86.25" customHeight="1">
      <c r="A65" s="67" t="s">
        <v>620</v>
      </c>
    </row>
    <row r="66" s="67" customFormat="1" ht="32.25" customHeight="1">
      <c r="A66" s="382" t="s">
        <v>621</v>
      </c>
    </row>
    <row r="67" ht="6" customHeight="1">
      <c r="A67"/>
    </row>
    <row r="68" ht="67.5" customHeight="1">
      <c r="A68" s="67" t="s">
        <v>613</v>
      </c>
    </row>
    <row r="69" ht="7.5" customHeight="1"/>
    <row r="70" ht="79.5" customHeight="1">
      <c r="A70" s="67" t="s">
        <v>614</v>
      </c>
    </row>
    <row r="71" ht="14.25" customHeight="1">
      <c r="A71"/>
    </row>
    <row r="72" ht="159.75" customHeight="1">
      <c r="A72" s="730" t="s">
        <v>908</v>
      </c>
    </row>
    <row r="73" ht="105" customHeight="1">
      <c r="A73" s="67" t="s">
        <v>909</v>
      </c>
    </row>
    <row r="74" ht="80.25" customHeight="1">
      <c r="A74" s="730" t="s">
        <v>910</v>
      </c>
    </row>
    <row r="75" ht="100.5" customHeight="1">
      <c r="A75" s="731" t="s">
        <v>911</v>
      </c>
    </row>
    <row r="76" ht="90" customHeight="1">
      <c r="A76" s="731" t="s">
        <v>912</v>
      </c>
    </row>
    <row r="77" ht="99.75" customHeight="1">
      <c r="A77" s="731" t="s">
        <v>913</v>
      </c>
    </row>
    <row r="78" ht="135" customHeight="1">
      <c r="A78" s="67" t="s">
        <v>914</v>
      </c>
    </row>
    <row r="79" ht="106.5" customHeight="1">
      <c r="A79" s="730" t="s">
        <v>915</v>
      </c>
    </row>
    <row r="80" ht="140.25" customHeight="1">
      <c r="A80" s="67" t="s">
        <v>916</v>
      </c>
    </row>
    <row r="81" ht="133.5" customHeight="1">
      <c r="A81" s="67" t="s">
        <v>917</v>
      </c>
    </row>
    <row r="82" ht="70.5" customHeight="1">
      <c r="A82" s="67" t="s">
        <v>918</v>
      </c>
    </row>
    <row r="83" ht="110.25" customHeight="1">
      <c r="A83" s="67" t="s">
        <v>919</v>
      </c>
    </row>
    <row r="84" ht="60" customHeight="1">
      <c r="A84" s="67" t="s">
        <v>920</v>
      </c>
    </row>
    <row r="85" ht="105.75" customHeight="1">
      <c r="A85" s="67" t="s">
        <v>921</v>
      </c>
    </row>
    <row r="86" ht="114.75" customHeight="1">
      <c r="A86" s="511" t="s">
        <v>922</v>
      </c>
    </row>
    <row r="87" ht="126.75" customHeight="1">
      <c r="A87" s="512" t="s">
        <v>923</v>
      </c>
    </row>
    <row r="88" ht="64.5" customHeight="1">
      <c r="A88" s="513" t="s">
        <v>924</v>
      </c>
    </row>
    <row r="89" ht="85.5" customHeight="1">
      <c r="A89" s="730" t="s">
        <v>925</v>
      </c>
    </row>
    <row r="90" ht="63" customHeight="1">
      <c r="A90" s="732" t="s">
        <v>615</v>
      </c>
    </row>
    <row r="91" ht="41.25" customHeight="1">
      <c r="A91" s="731" t="s">
        <v>926</v>
      </c>
    </row>
    <row r="92" ht="129.75" customHeight="1">
      <c r="A92" s="731" t="s">
        <v>927</v>
      </c>
    </row>
    <row r="93" ht="99" customHeight="1">
      <c r="A93" s="731" t="s">
        <v>928</v>
      </c>
    </row>
    <row r="94" ht="92.25" customHeight="1">
      <c r="A94" s="733" t="s">
        <v>929</v>
      </c>
    </row>
    <row r="95" ht="117.75" customHeight="1">
      <c r="A95" s="734" t="s">
        <v>930</v>
      </c>
    </row>
    <row r="96" ht="23.25" customHeight="1"/>
    <row r="97" ht="156" customHeight="1">
      <c r="A97" s="67" t="s">
        <v>931</v>
      </c>
    </row>
    <row r="98" ht="136.5" customHeight="1">
      <c r="A98" s="67" t="s">
        <v>932</v>
      </c>
    </row>
    <row r="99" ht="69.75" customHeight="1">
      <c r="A99" s="67" t="s">
        <v>933</v>
      </c>
    </row>
    <row r="100" ht="41.25" customHeight="1">
      <c r="A100" s="67" t="s">
        <v>934</v>
      </c>
    </row>
    <row r="101" ht="12.75" customHeight="1"/>
    <row r="102" ht="80.25" customHeight="1">
      <c r="A102" s="730" t="s">
        <v>935</v>
      </c>
    </row>
    <row r="103" ht="15.75" customHeight="1">
      <c r="A103" s="735"/>
    </row>
    <row r="104" ht="75.75" customHeight="1">
      <c r="A104" s="731" t="s">
        <v>936</v>
      </c>
    </row>
    <row r="105" ht="123" customHeight="1">
      <c r="A105" s="731" t="s">
        <v>937</v>
      </c>
    </row>
    <row r="106" ht="118.5" customHeight="1">
      <c r="A106" s="731" t="s">
        <v>938</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86" sqref="Y86"/>
    </sheetView>
  </sheetViews>
  <sheetFormatPr defaultColWidth="8.796875" defaultRowHeight="15"/>
  <cols>
    <col min="1" max="1" width="3.3984375" style="3" customWidth="1"/>
    <col min="2" max="2" width="20.796875" style="3" customWidth="1"/>
    <col min="3" max="3" width="9.3984375" style="3" customWidth="1"/>
    <col min="4" max="4" width="9.19921875" style="3" customWidth="1"/>
    <col min="5" max="5" width="8.796875" style="3" customWidth="1"/>
    <col min="6" max="6" width="12.796875" style="3" customWidth="1"/>
    <col min="7" max="7" width="13.19921875" style="3" customWidth="1"/>
    <col min="8" max="13" width="9.796875" style="3" customWidth="1"/>
    <col min="14" max="16384" width="8.8984375" style="3" customWidth="1"/>
  </cols>
  <sheetData>
    <row r="1" spans="2:13" ht="15.75">
      <c r="B1" s="14">
        <f>inputPrYr!$D$3</f>
        <v>0</v>
      </c>
      <c r="C1" s="6"/>
      <c r="D1" s="6"/>
      <c r="E1" s="6"/>
      <c r="F1" s="6"/>
      <c r="G1" s="6"/>
      <c r="H1" s="6"/>
      <c r="I1" s="6"/>
      <c r="J1" s="6"/>
      <c r="K1" s="6"/>
      <c r="L1" s="6"/>
      <c r="M1" s="28">
        <f>inputPrYr!$C$10</f>
        <v>0</v>
      </c>
    </row>
    <row r="2" spans="2:13" ht="15.75">
      <c r="B2" s="14"/>
      <c r="C2" s="6"/>
      <c r="D2" s="6"/>
      <c r="E2" s="6"/>
      <c r="F2" s="6"/>
      <c r="G2" s="6"/>
      <c r="H2" s="6"/>
      <c r="I2" s="6"/>
      <c r="J2" s="6"/>
      <c r="K2" s="6"/>
      <c r="L2" s="6"/>
      <c r="M2" s="8"/>
    </row>
    <row r="3" spans="2:13" ht="15.75">
      <c r="B3" s="15" t="s">
        <v>8</v>
      </c>
      <c r="C3" s="10"/>
      <c r="D3" s="10"/>
      <c r="E3" s="10"/>
      <c r="F3" s="10"/>
      <c r="G3" s="10"/>
      <c r="H3" s="10"/>
      <c r="I3" s="10"/>
      <c r="J3" s="10"/>
      <c r="K3" s="10"/>
      <c r="L3" s="10"/>
      <c r="M3" s="10"/>
    </row>
    <row r="4" spans="2:13" ht="15.75">
      <c r="B4" s="6"/>
      <c r="C4" s="26"/>
      <c r="D4" s="26"/>
      <c r="E4" s="26"/>
      <c r="F4" s="26"/>
      <c r="G4" s="26"/>
      <c r="H4" s="26"/>
      <c r="I4" s="26"/>
      <c r="J4" s="26"/>
      <c r="K4" s="26"/>
      <c r="L4" s="26"/>
      <c r="M4" s="26"/>
    </row>
    <row r="5" spans="2:13" ht="15.75">
      <c r="B5" s="605"/>
      <c r="C5" s="16" t="s">
        <v>303</v>
      </c>
      <c r="D5" s="16" t="s">
        <v>303</v>
      </c>
      <c r="E5" s="16" t="s">
        <v>317</v>
      </c>
      <c r="F5" s="16"/>
      <c r="G5" s="62" t="s">
        <v>86</v>
      </c>
      <c r="H5" s="6"/>
      <c r="I5" s="6"/>
      <c r="J5" s="18" t="s">
        <v>304</v>
      </c>
      <c r="K5" s="17"/>
      <c r="L5" s="18" t="s">
        <v>304</v>
      </c>
      <c r="M5" s="17"/>
    </row>
    <row r="6" spans="2:13" ht="15.75">
      <c r="B6" s="19" t="s">
        <v>838</v>
      </c>
      <c r="C6" s="19" t="s">
        <v>305</v>
      </c>
      <c r="D6" s="19" t="s">
        <v>87</v>
      </c>
      <c r="E6" s="19" t="s">
        <v>306</v>
      </c>
      <c r="F6" s="19" t="s">
        <v>258</v>
      </c>
      <c r="G6" s="63" t="s">
        <v>88</v>
      </c>
      <c r="H6" s="973" t="s">
        <v>307</v>
      </c>
      <c r="I6" s="974"/>
      <c r="J6" s="975">
        <f>M1-1</f>
        <v>-1</v>
      </c>
      <c r="K6" s="976"/>
      <c r="L6" s="975">
        <f>M1</f>
        <v>0</v>
      </c>
      <c r="M6" s="976"/>
    </row>
    <row r="7" spans="2:13" ht="15.75">
      <c r="B7" s="20" t="s">
        <v>839</v>
      </c>
      <c r="C7" s="20" t="s">
        <v>308</v>
      </c>
      <c r="D7" s="20" t="s">
        <v>89</v>
      </c>
      <c r="E7" s="20" t="s">
        <v>282</v>
      </c>
      <c r="F7" s="20" t="s">
        <v>309</v>
      </c>
      <c r="G7" s="33" t="str">
        <f>CONCATENATE("Jan 1,",M1-1,"")</f>
        <v>Jan 1,-1</v>
      </c>
      <c r="H7" s="21" t="s">
        <v>317</v>
      </c>
      <c r="I7" s="21" t="s">
        <v>319</v>
      </c>
      <c r="J7" s="21" t="s">
        <v>317</v>
      </c>
      <c r="K7" s="21" t="s">
        <v>319</v>
      </c>
      <c r="L7" s="21" t="s">
        <v>317</v>
      </c>
      <c r="M7" s="21" t="s">
        <v>319</v>
      </c>
    </row>
    <row r="8" spans="2:13" ht="15.75">
      <c r="B8" s="22" t="s">
        <v>310</v>
      </c>
      <c r="C8" s="13"/>
      <c r="D8" s="13"/>
      <c r="E8" s="23"/>
      <c r="F8" s="24"/>
      <c r="G8" s="24"/>
      <c r="H8" s="13"/>
      <c r="I8" s="13"/>
      <c r="J8" s="24"/>
      <c r="K8" s="24"/>
      <c r="L8" s="24"/>
      <c r="M8" s="24"/>
    </row>
    <row r="9" spans="2:13" ht="15.75">
      <c r="B9" s="4"/>
      <c r="C9" s="388"/>
      <c r="D9" s="388"/>
      <c r="E9" s="37"/>
      <c r="F9" s="38"/>
      <c r="G9" s="39"/>
      <c r="H9" s="40"/>
      <c r="I9" s="40"/>
      <c r="J9" s="39"/>
      <c r="K9" s="39"/>
      <c r="L9" s="39"/>
      <c r="M9" s="39"/>
    </row>
    <row r="10" spans="2:13" ht="15.75">
      <c r="B10" s="4"/>
      <c r="C10" s="388"/>
      <c r="D10" s="388"/>
      <c r="E10" s="37"/>
      <c r="F10" s="38"/>
      <c r="G10" s="39"/>
      <c r="H10" s="40"/>
      <c r="I10" s="40"/>
      <c r="J10" s="39"/>
      <c r="K10" s="39"/>
      <c r="L10" s="39"/>
      <c r="M10" s="39"/>
    </row>
    <row r="11" spans="2:13" ht="15.75">
      <c r="B11" s="4"/>
      <c r="C11" s="388"/>
      <c r="D11" s="388"/>
      <c r="E11" s="37"/>
      <c r="F11" s="38"/>
      <c r="G11" s="39"/>
      <c r="H11" s="40"/>
      <c r="I11" s="40"/>
      <c r="J11" s="39"/>
      <c r="K11" s="39"/>
      <c r="L11" s="39"/>
      <c r="M11" s="39"/>
    </row>
    <row r="12" spans="2:13" ht="15.75">
      <c r="B12" s="4"/>
      <c r="C12" s="388"/>
      <c r="D12" s="388"/>
      <c r="E12" s="37"/>
      <c r="F12" s="38"/>
      <c r="G12" s="39"/>
      <c r="H12" s="40"/>
      <c r="I12" s="40"/>
      <c r="J12" s="39"/>
      <c r="K12" s="39"/>
      <c r="L12" s="39"/>
      <c r="M12" s="39"/>
    </row>
    <row r="13" spans="2:13" ht="15.75">
      <c r="B13" s="4"/>
      <c r="C13" s="388"/>
      <c r="D13" s="388"/>
      <c r="E13" s="37"/>
      <c r="F13" s="38"/>
      <c r="G13" s="39"/>
      <c r="H13" s="40"/>
      <c r="I13" s="40"/>
      <c r="J13" s="39"/>
      <c r="K13" s="39"/>
      <c r="L13" s="39"/>
      <c r="M13" s="39"/>
    </row>
    <row r="14" spans="2:13" ht="15.75">
      <c r="B14" s="4"/>
      <c r="C14" s="388"/>
      <c r="D14" s="388"/>
      <c r="E14" s="37"/>
      <c r="F14" s="38"/>
      <c r="G14" s="39"/>
      <c r="H14" s="40"/>
      <c r="I14" s="40"/>
      <c r="J14" s="39"/>
      <c r="K14" s="39"/>
      <c r="L14" s="39"/>
      <c r="M14" s="39"/>
    </row>
    <row r="15" spans="2:13" ht="15.75">
      <c r="B15" s="4"/>
      <c r="C15" s="388"/>
      <c r="D15" s="388"/>
      <c r="E15" s="37"/>
      <c r="F15" s="38"/>
      <c r="G15" s="39"/>
      <c r="H15" s="40"/>
      <c r="I15" s="40"/>
      <c r="J15" s="39"/>
      <c r="K15" s="39"/>
      <c r="L15" s="39"/>
      <c r="M15" s="39"/>
    </row>
    <row r="16" spans="2:13" ht="15.75">
      <c r="B16" s="4"/>
      <c r="C16" s="388"/>
      <c r="D16" s="388"/>
      <c r="E16" s="37"/>
      <c r="F16" s="38"/>
      <c r="G16" s="39"/>
      <c r="H16" s="40"/>
      <c r="I16" s="40"/>
      <c r="J16" s="39"/>
      <c r="K16" s="39"/>
      <c r="L16" s="39"/>
      <c r="M16" s="39"/>
    </row>
    <row r="17" spans="2:13" ht="15.75">
      <c r="B17" s="4"/>
      <c r="C17" s="388"/>
      <c r="D17" s="388"/>
      <c r="E17" s="37"/>
      <c r="F17" s="38"/>
      <c r="G17" s="39"/>
      <c r="H17" s="40"/>
      <c r="I17" s="40"/>
      <c r="J17" s="39"/>
      <c r="K17" s="39"/>
      <c r="L17" s="39"/>
      <c r="M17" s="39"/>
    </row>
    <row r="18" spans="2:13" ht="15.75">
      <c r="B18" s="4"/>
      <c r="C18" s="388"/>
      <c r="D18" s="388"/>
      <c r="E18" s="37"/>
      <c r="F18" s="38"/>
      <c r="G18" s="39"/>
      <c r="H18" s="40"/>
      <c r="I18" s="40"/>
      <c r="J18" s="39"/>
      <c r="K18" s="39"/>
      <c r="L18" s="39"/>
      <c r="M18" s="39"/>
    </row>
    <row r="19" spans="2:13" ht="15.75">
      <c r="B19" s="4"/>
      <c r="C19" s="388"/>
      <c r="D19" s="388"/>
      <c r="E19" s="37"/>
      <c r="F19" s="38"/>
      <c r="G19" s="39"/>
      <c r="H19" s="40"/>
      <c r="I19" s="40"/>
      <c r="J19" s="39"/>
      <c r="K19" s="39"/>
      <c r="L19" s="39"/>
      <c r="M19" s="39"/>
    </row>
    <row r="20" spans="2:13" ht="15.75">
      <c r="B20" s="25" t="s">
        <v>311</v>
      </c>
      <c r="C20" s="41"/>
      <c r="D20" s="41"/>
      <c r="E20" s="42"/>
      <c r="F20" s="43"/>
      <c r="G20" s="52">
        <f>SUM(G9:G19)</f>
        <v>0</v>
      </c>
      <c r="H20" s="44"/>
      <c r="I20" s="44"/>
      <c r="J20" s="52">
        <f>SUM(J9:J19)</f>
        <v>0</v>
      </c>
      <c r="K20" s="52">
        <f>SUM(K9:K19)</f>
        <v>0</v>
      </c>
      <c r="L20" s="52">
        <f>SUM(L9:L19)</f>
        <v>0</v>
      </c>
      <c r="M20" s="52">
        <f>SUM(M9:M19)</f>
        <v>0</v>
      </c>
    </row>
    <row r="21" spans="2:13" ht="15.75">
      <c r="B21" s="22" t="s">
        <v>312</v>
      </c>
      <c r="C21" s="45"/>
      <c r="D21" s="45"/>
      <c r="E21" s="46"/>
      <c r="F21" s="36"/>
      <c r="G21" s="36"/>
      <c r="H21" s="47"/>
      <c r="I21" s="47"/>
      <c r="J21" s="36"/>
      <c r="K21" s="36"/>
      <c r="L21" s="36"/>
      <c r="M21" s="36"/>
    </row>
    <row r="22" spans="2:13" ht="15.75">
      <c r="B22" s="4"/>
      <c r="C22" s="388"/>
      <c r="D22" s="388"/>
      <c r="E22" s="37"/>
      <c r="F22" s="38"/>
      <c r="G22" s="39"/>
      <c r="H22" s="40"/>
      <c r="I22" s="40"/>
      <c r="J22" s="39"/>
      <c r="K22" s="39"/>
      <c r="L22" s="39"/>
      <c r="M22" s="39"/>
    </row>
    <row r="23" spans="2:13" ht="15.75">
      <c r="B23" s="4"/>
      <c r="C23" s="388"/>
      <c r="D23" s="388"/>
      <c r="E23" s="37"/>
      <c r="F23" s="38"/>
      <c r="G23" s="39"/>
      <c r="H23" s="40"/>
      <c r="I23" s="40"/>
      <c r="J23" s="39"/>
      <c r="K23" s="39"/>
      <c r="L23" s="39"/>
      <c r="M23" s="39"/>
    </row>
    <row r="24" spans="2:13" ht="15.75">
      <c r="B24" s="4"/>
      <c r="C24" s="388"/>
      <c r="D24" s="388"/>
      <c r="E24" s="37"/>
      <c r="F24" s="38"/>
      <c r="G24" s="39"/>
      <c r="H24" s="40"/>
      <c r="I24" s="40"/>
      <c r="J24" s="39"/>
      <c r="K24" s="39"/>
      <c r="L24" s="39"/>
      <c r="M24" s="39"/>
    </row>
    <row r="25" spans="2:13" ht="15.75">
      <c r="B25" s="4"/>
      <c r="C25" s="388"/>
      <c r="D25" s="388"/>
      <c r="E25" s="37"/>
      <c r="F25" s="38"/>
      <c r="G25" s="39"/>
      <c r="H25" s="40"/>
      <c r="I25" s="40"/>
      <c r="J25" s="39"/>
      <c r="K25" s="39"/>
      <c r="L25" s="39"/>
      <c r="M25" s="39"/>
    </row>
    <row r="26" spans="2:13" ht="15.75">
      <c r="B26" s="4"/>
      <c r="C26" s="388"/>
      <c r="D26" s="388"/>
      <c r="E26" s="37"/>
      <c r="F26" s="38"/>
      <c r="G26" s="39"/>
      <c r="H26" s="40"/>
      <c r="I26" s="40"/>
      <c r="J26" s="39"/>
      <c r="K26" s="39"/>
      <c r="L26" s="39"/>
      <c r="M26" s="39"/>
    </row>
    <row r="27" spans="2:13" ht="15.75">
      <c r="B27" s="4"/>
      <c r="C27" s="388"/>
      <c r="D27" s="388"/>
      <c r="E27" s="37"/>
      <c r="F27" s="38"/>
      <c r="G27" s="39"/>
      <c r="H27" s="40"/>
      <c r="I27" s="40"/>
      <c r="J27" s="39"/>
      <c r="K27" s="39"/>
      <c r="L27" s="39"/>
      <c r="M27" s="39"/>
    </row>
    <row r="28" spans="2:13" ht="15.75">
      <c r="B28" s="4"/>
      <c r="C28" s="388"/>
      <c r="D28" s="388"/>
      <c r="E28" s="37"/>
      <c r="F28" s="38"/>
      <c r="G28" s="39"/>
      <c r="H28" s="40"/>
      <c r="I28" s="40"/>
      <c r="J28" s="39"/>
      <c r="K28" s="39"/>
      <c r="L28" s="39"/>
      <c r="M28" s="39"/>
    </row>
    <row r="29" spans="2:13" ht="15.75">
      <c r="B29" s="4"/>
      <c r="C29" s="388"/>
      <c r="D29" s="388"/>
      <c r="E29" s="37"/>
      <c r="F29" s="38"/>
      <c r="G29" s="39"/>
      <c r="H29" s="40"/>
      <c r="I29" s="40"/>
      <c r="J29" s="39"/>
      <c r="K29" s="39"/>
      <c r="L29" s="39"/>
      <c r="M29" s="39"/>
    </row>
    <row r="30" spans="2:13" ht="15.75">
      <c r="B30" s="4"/>
      <c r="C30" s="388"/>
      <c r="D30" s="388"/>
      <c r="E30" s="37"/>
      <c r="F30" s="38"/>
      <c r="G30" s="39"/>
      <c r="H30" s="40"/>
      <c r="I30" s="40"/>
      <c r="J30" s="39"/>
      <c r="K30" s="39"/>
      <c r="L30" s="39"/>
      <c r="M30" s="39"/>
    </row>
    <row r="31" spans="2:13" ht="15.75">
      <c r="B31" s="4"/>
      <c r="C31" s="388"/>
      <c r="D31" s="388"/>
      <c r="E31" s="37"/>
      <c r="F31" s="38"/>
      <c r="G31" s="39"/>
      <c r="H31" s="40"/>
      <c r="I31" s="40"/>
      <c r="J31" s="39"/>
      <c r="K31" s="39"/>
      <c r="L31" s="39"/>
      <c r="M31" s="39"/>
    </row>
    <row r="32" spans="2:13" ht="15.75">
      <c r="B32" s="25" t="s">
        <v>313</v>
      </c>
      <c r="C32" s="41"/>
      <c r="D32" s="41"/>
      <c r="E32" s="48"/>
      <c r="F32" s="43"/>
      <c r="G32" s="53">
        <f>SUM(G22:G31)</f>
        <v>0</v>
      </c>
      <c r="H32" s="44"/>
      <c r="I32" s="44"/>
      <c r="J32" s="53">
        <f>SUM(J22:J31)</f>
        <v>0</v>
      </c>
      <c r="K32" s="53">
        <f>SUM(K22:K31)</f>
        <v>0</v>
      </c>
      <c r="L32" s="52">
        <f>SUM(L22:L31)</f>
        <v>0</v>
      </c>
      <c r="M32" s="53">
        <f>SUM(M22:M31)</f>
        <v>0</v>
      </c>
    </row>
    <row r="33" spans="2:13" ht="15.75">
      <c r="B33" s="22" t="s">
        <v>314</v>
      </c>
      <c r="C33" s="45"/>
      <c r="D33" s="45"/>
      <c r="E33" s="46"/>
      <c r="F33" s="36"/>
      <c r="G33" s="49"/>
      <c r="H33" s="47"/>
      <c r="I33" s="47"/>
      <c r="J33" s="36"/>
      <c r="K33" s="36"/>
      <c r="L33" s="36"/>
      <c r="M33" s="36"/>
    </row>
    <row r="34" spans="2:13" ht="15.75">
      <c r="B34" s="4"/>
      <c r="C34" s="388"/>
      <c r="D34" s="388"/>
      <c r="E34" s="37"/>
      <c r="F34" s="38"/>
      <c r="G34" s="39"/>
      <c r="H34" s="40"/>
      <c r="I34" s="40"/>
      <c r="J34" s="39"/>
      <c r="K34" s="39"/>
      <c r="L34" s="39"/>
      <c r="M34" s="39"/>
    </row>
    <row r="35" spans="2:13" ht="15.75">
      <c r="B35" s="4"/>
      <c r="C35" s="388"/>
      <c r="D35" s="388"/>
      <c r="E35" s="37"/>
      <c r="F35" s="38"/>
      <c r="G35" s="39"/>
      <c r="H35" s="40"/>
      <c r="I35" s="40"/>
      <c r="J35" s="39"/>
      <c r="K35" s="39"/>
      <c r="L35" s="39"/>
      <c r="M35" s="39"/>
    </row>
    <row r="36" spans="2:13" ht="15.75">
      <c r="B36" s="4"/>
      <c r="C36" s="388"/>
      <c r="D36" s="388"/>
      <c r="E36" s="37"/>
      <c r="F36" s="38"/>
      <c r="G36" s="39"/>
      <c r="H36" s="40"/>
      <c r="I36" s="40"/>
      <c r="J36" s="39"/>
      <c r="K36" s="39"/>
      <c r="L36" s="39"/>
      <c r="M36" s="39"/>
    </row>
    <row r="37" spans="2:13" ht="15.75">
      <c r="B37" s="4"/>
      <c r="C37" s="388"/>
      <c r="D37" s="388"/>
      <c r="E37" s="37"/>
      <c r="F37" s="38"/>
      <c r="G37" s="39"/>
      <c r="H37" s="40"/>
      <c r="I37" s="40"/>
      <c r="J37" s="39"/>
      <c r="K37" s="39"/>
      <c r="L37" s="39"/>
      <c r="M37" s="39"/>
    </row>
    <row r="38" spans="2:13" ht="15.75">
      <c r="B38" s="4"/>
      <c r="C38" s="388"/>
      <c r="D38" s="388"/>
      <c r="E38" s="37"/>
      <c r="F38" s="38"/>
      <c r="G38" s="39"/>
      <c r="H38" s="40"/>
      <c r="I38" s="40"/>
      <c r="J38" s="39"/>
      <c r="K38" s="39"/>
      <c r="L38" s="39"/>
      <c r="M38" s="39"/>
    </row>
    <row r="39" spans="2:13" ht="15.75">
      <c r="B39" s="4"/>
      <c r="C39" s="388"/>
      <c r="D39" s="388"/>
      <c r="E39" s="37"/>
      <c r="F39" s="38"/>
      <c r="G39" s="39"/>
      <c r="H39" s="40"/>
      <c r="I39" s="40"/>
      <c r="J39" s="39"/>
      <c r="K39" s="39"/>
      <c r="L39" s="39"/>
      <c r="M39" s="39"/>
    </row>
    <row r="40" spans="2:13" ht="15.75">
      <c r="B40" s="4"/>
      <c r="C40" s="388"/>
      <c r="D40" s="388"/>
      <c r="E40" s="37"/>
      <c r="F40" s="38"/>
      <c r="G40" s="39"/>
      <c r="H40" s="40"/>
      <c r="I40" s="40"/>
      <c r="J40" s="39"/>
      <c r="K40" s="39"/>
      <c r="L40" s="39"/>
      <c r="M40" s="39"/>
    </row>
    <row r="41" spans="2:29" ht="15.75">
      <c r="B41" s="4"/>
      <c r="C41" s="388"/>
      <c r="D41" s="388"/>
      <c r="E41" s="37"/>
      <c r="F41" s="38"/>
      <c r="G41" s="39"/>
      <c r="H41" s="40"/>
      <c r="I41" s="40"/>
      <c r="J41" s="39"/>
      <c r="K41" s="39"/>
      <c r="L41" s="39"/>
      <c r="M41" s="39"/>
      <c r="N41" s="1"/>
      <c r="O41" s="1"/>
      <c r="P41" s="1"/>
      <c r="Q41" s="1"/>
      <c r="R41" s="1"/>
      <c r="S41" s="1"/>
      <c r="T41" s="1"/>
      <c r="U41" s="1"/>
      <c r="V41" s="1"/>
      <c r="W41" s="1"/>
      <c r="X41" s="1"/>
      <c r="Y41" s="1"/>
      <c r="Z41" s="1"/>
      <c r="AA41" s="1"/>
      <c r="AB41" s="1"/>
      <c r="AC41" s="1"/>
    </row>
    <row r="42" spans="2:13" ht="15.75">
      <c r="B42" s="25" t="s">
        <v>90</v>
      </c>
      <c r="C42" s="35"/>
      <c r="D42" s="35"/>
      <c r="E42" s="48"/>
      <c r="F42" s="43"/>
      <c r="G42" s="53">
        <f>SUM(G34:G41)</f>
        <v>0</v>
      </c>
      <c r="H42" s="43"/>
      <c r="I42" s="43"/>
      <c r="J42" s="53">
        <f>SUM(J34:J41)</f>
        <v>0</v>
      </c>
      <c r="K42" s="53">
        <f>SUM(K34:K41)</f>
        <v>0</v>
      </c>
      <c r="L42" s="53">
        <f>SUM(L34:L41)</f>
        <v>0</v>
      </c>
      <c r="M42" s="53">
        <f>SUM(M34:M41)</f>
        <v>0</v>
      </c>
    </row>
    <row r="43" spans="2:13" ht="15.75">
      <c r="B43" s="25" t="s">
        <v>315</v>
      </c>
      <c r="C43" s="35"/>
      <c r="D43" s="35"/>
      <c r="E43" s="35"/>
      <c r="F43" s="43"/>
      <c r="G43" s="53">
        <f>SUM(G20+G32+G42)</f>
        <v>0</v>
      </c>
      <c r="H43" s="43"/>
      <c r="I43" s="43"/>
      <c r="J43" s="53">
        <f>SUM(J20+J32+J42)</f>
        <v>0</v>
      </c>
      <c r="K43" s="53">
        <f>SUM(K20+K32+K42)</f>
        <v>0</v>
      </c>
      <c r="L43" s="53">
        <f>SUM(L20+L32+L42)</f>
        <v>0</v>
      </c>
      <c r="M43" s="53">
        <f>SUM(M20+M32+M42)</f>
        <v>0</v>
      </c>
    </row>
    <row r="44" spans="2:13" ht="15.75">
      <c r="B44" s="1"/>
      <c r="C44" s="1"/>
      <c r="D44" s="1"/>
      <c r="E44" s="1"/>
      <c r="F44" s="1"/>
      <c r="G44" s="1"/>
      <c r="H44" s="1"/>
      <c r="I44" s="1"/>
      <c r="J44" s="1"/>
      <c r="K44" s="1"/>
      <c r="L44" s="1"/>
      <c r="M44" s="1"/>
    </row>
    <row r="45" spans="6:13" ht="15.75">
      <c r="F45" s="5"/>
      <c r="G45" s="5"/>
      <c r="J45" s="5"/>
      <c r="K45" s="5"/>
      <c r="L45" s="5"/>
      <c r="M45" s="5"/>
    </row>
    <row r="46" spans="6:14" ht="15.75">
      <c r="F46" s="1"/>
      <c r="H46" s="34"/>
      <c r="N46" s="1"/>
    </row>
    <row r="47" spans="2:13" ht="15.75">
      <c r="B47" s="1"/>
      <c r="C47" s="1"/>
      <c r="D47" s="1"/>
      <c r="E47" s="1"/>
      <c r="F47" s="1"/>
      <c r="G47" s="1"/>
      <c r="H47" s="1"/>
      <c r="I47" s="1"/>
      <c r="J47" s="1"/>
      <c r="K47" s="1"/>
      <c r="L47" s="1"/>
      <c r="M47" s="1"/>
    </row>
    <row r="48" spans="2:13" ht="15.75">
      <c r="B48" s="1"/>
      <c r="C48" s="1"/>
      <c r="D48" s="1"/>
      <c r="E48" s="1"/>
      <c r="F48" s="1"/>
      <c r="G48" s="1"/>
      <c r="H48" s="1"/>
      <c r="I48" s="1"/>
      <c r="J48" s="1"/>
      <c r="K48" s="1"/>
      <c r="L48" s="1"/>
      <c r="M48" s="1"/>
    </row>
  </sheetData>
  <sheetProtection sheet="1"/>
  <mergeCells count="3">
    <mergeCell ref="H6:I6"/>
    <mergeCell ref="J6:K6"/>
    <mergeCell ref="L6:M6"/>
  </mergeCells>
  <printOptions/>
  <pageMargins left="0.5" right="0.25"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V71" sqref="V71"/>
    </sheetView>
  </sheetViews>
  <sheetFormatPr defaultColWidth="8.796875" defaultRowHeight="15"/>
  <cols>
    <col min="1" max="1" width="8.8984375" style="77" customWidth="1"/>
    <col min="2" max="2" width="23.59765625" style="77" customWidth="1"/>
    <col min="3" max="5" width="9.796875" style="77" customWidth="1"/>
    <col min="6" max="6" width="18.296875" style="77" customWidth="1"/>
    <col min="7" max="9" width="15.796875" style="77" customWidth="1"/>
    <col min="10" max="16384" width="8.8984375" style="77" customWidth="1"/>
  </cols>
  <sheetData>
    <row r="1" spans="2:9" ht="15.75">
      <c r="B1" s="205">
        <f>inputPrYr!$D$3</f>
        <v>0</v>
      </c>
      <c r="C1" s="81"/>
      <c r="D1" s="81"/>
      <c r="E1" s="81"/>
      <c r="F1" s="81"/>
      <c r="G1" s="81"/>
      <c r="H1" s="81"/>
      <c r="I1" s="227">
        <f>inputPrYr!C10</f>
        <v>0</v>
      </c>
    </row>
    <row r="2" spans="2:9" ht="15.75">
      <c r="B2" s="205"/>
      <c r="C2" s="81"/>
      <c r="D2" s="81"/>
      <c r="E2" s="81"/>
      <c r="F2" s="81"/>
      <c r="G2" s="81"/>
      <c r="H2" s="81"/>
      <c r="I2" s="191"/>
    </row>
    <row r="3" spans="2:9" ht="15.75">
      <c r="B3" s="81"/>
      <c r="C3" s="81"/>
      <c r="D3" s="81"/>
      <c r="E3" s="81"/>
      <c r="F3" s="81"/>
      <c r="G3" s="81"/>
      <c r="H3" s="81"/>
      <c r="I3" s="161"/>
    </row>
    <row r="4" spans="2:9" ht="15.75">
      <c r="B4" s="228" t="s">
        <v>2</v>
      </c>
      <c r="C4" s="87"/>
      <c r="D4" s="87"/>
      <c r="E4" s="87"/>
      <c r="F4" s="87"/>
      <c r="G4" s="87"/>
      <c r="H4" s="87"/>
      <c r="I4" s="87"/>
    </row>
    <row r="5" spans="2:9" ht="15.75">
      <c r="B5" s="88"/>
      <c r="C5" s="229"/>
      <c r="D5" s="229"/>
      <c r="E5" s="229"/>
      <c r="F5" s="229"/>
      <c r="G5" s="229"/>
      <c r="H5" s="229"/>
      <c r="I5" s="229"/>
    </row>
    <row r="6" spans="2:9" ht="15.75">
      <c r="B6" s="175"/>
      <c r="C6" s="175"/>
      <c r="D6" s="175"/>
      <c r="E6" s="175"/>
      <c r="F6" s="208" t="s">
        <v>241</v>
      </c>
      <c r="G6" s="175"/>
      <c r="H6" s="175"/>
      <c r="I6" s="175"/>
    </row>
    <row r="7" spans="2:9" ht="15.75">
      <c r="B7" s="176"/>
      <c r="C7" s="230"/>
      <c r="D7" s="230" t="s">
        <v>316</v>
      </c>
      <c r="E7" s="230" t="s">
        <v>317</v>
      </c>
      <c r="F7" s="230" t="s">
        <v>258</v>
      </c>
      <c r="G7" s="230" t="s">
        <v>319</v>
      </c>
      <c r="H7" s="230" t="s">
        <v>320</v>
      </c>
      <c r="I7" s="230" t="s">
        <v>320</v>
      </c>
    </row>
    <row r="8" spans="2:9" ht="15.75">
      <c r="B8" s="230" t="s">
        <v>836</v>
      </c>
      <c r="C8" s="230" t="s">
        <v>321</v>
      </c>
      <c r="D8" s="230" t="s">
        <v>322</v>
      </c>
      <c r="E8" s="230" t="s">
        <v>306</v>
      </c>
      <c r="F8" s="230" t="s">
        <v>323</v>
      </c>
      <c r="G8" s="230" t="s">
        <v>41</v>
      </c>
      <c r="H8" s="230" t="s">
        <v>324</v>
      </c>
      <c r="I8" s="230" t="s">
        <v>324</v>
      </c>
    </row>
    <row r="9" spans="2:9" ht="15.75">
      <c r="B9" s="209" t="s">
        <v>837</v>
      </c>
      <c r="C9" s="209" t="s">
        <v>303</v>
      </c>
      <c r="D9" s="231" t="s">
        <v>325</v>
      </c>
      <c r="E9" s="209" t="s">
        <v>282</v>
      </c>
      <c r="F9" s="231" t="s">
        <v>53</v>
      </c>
      <c r="G9" s="232" t="str">
        <f>CONCATENATE("Jan 1,",I1-1,"")</f>
        <v>Jan 1,-1</v>
      </c>
      <c r="H9" s="209">
        <f>I1-1</f>
        <v>-1</v>
      </c>
      <c r="I9" s="209">
        <f>I1</f>
        <v>0</v>
      </c>
    </row>
    <row r="10" spans="2:9" ht="15.75">
      <c r="B10" s="97"/>
      <c r="C10" s="233"/>
      <c r="D10" s="234"/>
      <c r="E10" s="235"/>
      <c r="F10" s="236"/>
      <c r="G10" s="236"/>
      <c r="H10" s="236"/>
      <c r="I10" s="236"/>
    </row>
    <row r="11" spans="2:9" ht="15.75">
      <c r="B11" s="97"/>
      <c r="C11" s="387"/>
      <c r="D11" s="234"/>
      <c r="E11" s="235"/>
      <c r="F11" s="236"/>
      <c r="G11" s="236"/>
      <c r="H11" s="236"/>
      <c r="I11" s="236"/>
    </row>
    <row r="12" spans="2:9" ht="15.75">
      <c r="B12" s="97"/>
      <c r="C12" s="233"/>
      <c r="D12" s="234"/>
      <c r="E12" s="235"/>
      <c r="F12" s="236"/>
      <c r="G12" s="236"/>
      <c r="H12" s="236"/>
      <c r="I12" s="236"/>
    </row>
    <row r="13" spans="2:9" ht="15.75">
      <c r="B13" s="97"/>
      <c r="C13" s="233"/>
      <c r="D13" s="234"/>
      <c r="E13" s="235"/>
      <c r="F13" s="236"/>
      <c r="G13" s="236"/>
      <c r="H13" s="236"/>
      <c r="I13" s="236"/>
    </row>
    <row r="14" spans="2:9" ht="15.75">
      <c r="B14" s="97"/>
      <c r="C14" s="233"/>
      <c r="D14" s="234"/>
      <c r="E14" s="235"/>
      <c r="F14" s="236"/>
      <c r="G14" s="236"/>
      <c r="H14" s="236"/>
      <c r="I14" s="236"/>
    </row>
    <row r="15" spans="2:9" ht="15.75">
      <c r="B15" s="97"/>
      <c r="C15" s="233"/>
      <c r="D15" s="234"/>
      <c r="E15" s="235"/>
      <c r="F15" s="236"/>
      <c r="G15" s="236"/>
      <c r="H15" s="236"/>
      <c r="I15" s="236"/>
    </row>
    <row r="16" spans="2:9" ht="15.75">
      <c r="B16" s="97"/>
      <c r="C16" s="233"/>
      <c r="D16" s="234"/>
      <c r="E16" s="235"/>
      <c r="F16" s="236"/>
      <c r="G16" s="236"/>
      <c r="H16" s="236"/>
      <c r="I16" s="236"/>
    </row>
    <row r="17" spans="2:9" ht="15.75">
      <c r="B17" s="97"/>
      <c r="C17" s="233"/>
      <c r="D17" s="234"/>
      <c r="E17" s="235"/>
      <c r="F17" s="236"/>
      <c r="G17" s="236"/>
      <c r="H17" s="236"/>
      <c r="I17" s="236"/>
    </row>
    <row r="18" spans="2:9" ht="15.75">
      <c r="B18" s="97"/>
      <c r="C18" s="233"/>
      <c r="D18" s="234"/>
      <c r="E18" s="235"/>
      <c r="F18" s="236"/>
      <c r="G18" s="236"/>
      <c r="H18" s="236"/>
      <c r="I18" s="236"/>
    </row>
    <row r="19" spans="2:9" ht="15.75">
      <c r="B19" s="97"/>
      <c r="C19" s="233"/>
      <c r="D19" s="234"/>
      <c r="E19" s="235"/>
      <c r="F19" s="236"/>
      <c r="G19" s="236"/>
      <c r="H19" s="236"/>
      <c r="I19" s="236"/>
    </row>
    <row r="20" spans="2:9" ht="15.75">
      <c r="B20" s="97"/>
      <c r="C20" s="233"/>
      <c r="D20" s="234"/>
      <c r="E20" s="235"/>
      <c r="F20" s="236"/>
      <c r="G20" s="236"/>
      <c r="H20" s="236"/>
      <c r="I20" s="236"/>
    </row>
    <row r="21" spans="2:9" ht="15.75">
      <c r="B21" s="97"/>
      <c r="C21" s="233"/>
      <c r="D21" s="234"/>
      <c r="E21" s="235"/>
      <c r="F21" s="236"/>
      <c r="G21" s="236"/>
      <c r="H21" s="236"/>
      <c r="I21" s="236"/>
    </row>
    <row r="22" spans="2:9" ht="15.75">
      <c r="B22" s="97"/>
      <c r="C22" s="233"/>
      <c r="D22" s="234"/>
      <c r="E22" s="235"/>
      <c r="F22" s="236"/>
      <c r="G22" s="236"/>
      <c r="H22" s="236"/>
      <c r="I22" s="236"/>
    </row>
    <row r="23" spans="2:9" ht="15.75">
      <c r="B23" s="97"/>
      <c r="C23" s="233"/>
      <c r="D23" s="234"/>
      <c r="E23" s="235"/>
      <c r="F23" s="236"/>
      <c r="G23" s="236"/>
      <c r="H23" s="236"/>
      <c r="I23" s="236"/>
    </row>
    <row r="24" spans="2:9" ht="15.75">
      <c r="B24" s="97"/>
      <c r="C24" s="233"/>
      <c r="D24" s="234"/>
      <c r="E24" s="235"/>
      <c r="F24" s="236"/>
      <c r="G24" s="236"/>
      <c r="H24" s="236"/>
      <c r="I24" s="236"/>
    </row>
    <row r="25" spans="2:9" ht="15.75">
      <c r="B25" s="97"/>
      <c r="C25" s="233"/>
      <c r="D25" s="234"/>
      <c r="E25" s="235"/>
      <c r="F25" s="236"/>
      <c r="G25" s="236"/>
      <c r="H25" s="236"/>
      <c r="I25" s="236"/>
    </row>
    <row r="26" spans="2:9" ht="15.75">
      <c r="B26" s="97"/>
      <c r="C26" s="233"/>
      <c r="D26" s="234"/>
      <c r="E26" s="235"/>
      <c r="F26" s="236"/>
      <c r="G26" s="236"/>
      <c r="H26" s="236"/>
      <c r="I26" s="236"/>
    </row>
    <row r="27" spans="2:9" ht="15.75">
      <c r="B27" s="97"/>
      <c r="C27" s="233"/>
      <c r="D27" s="234"/>
      <c r="E27" s="235"/>
      <c r="F27" s="236"/>
      <c r="G27" s="236"/>
      <c r="H27" s="236"/>
      <c r="I27" s="236"/>
    </row>
    <row r="28" spans="2:9" ht="16.5" thickBot="1">
      <c r="B28" s="237"/>
      <c r="C28" s="142"/>
      <c r="D28" s="142"/>
      <c r="E28" s="142"/>
      <c r="F28" s="604" t="s">
        <v>253</v>
      </c>
      <c r="G28" s="238">
        <f>SUM(G10:G27)</f>
        <v>0</v>
      </c>
      <c r="H28" s="238">
        <f>SUM(H10:H27)</f>
        <v>0</v>
      </c>
      <c r="I28" s="238">
        <f>SUM(I10:I27)</f>
        <v>0</v>
      </c>
    </row>
    <row r="29" spans="2:9" ht="16.5" thickTop="1">
      <c r="B29" s="81"/>
      <c r="C29" s="81"/>
      <c r="D29" s="81"/>
      <c r="E29" s="81"/>
      <c r="F29" s="81"/>
      <c r="G29" s="81"/>
      <c r="H29" s="205"/>
      <c r="I29" s="205"/>
    </row>
    <row r="30" spans="2:9" ht="15.75">
      <c r="B30" s="239" t="s">
        <v>172</v>
      </c>
      <c r="C30" s="145"/>
      <c r="D30" s="145"/>
      <c r="E30" s="145"/>
      <c r="F30" s="145"/>
      <c r="G30" s="145"/>
      <c r="H30" s="205"/>
      <c r="I30" s="205"/>
    </row>
  </sheetData>
  <sheetProtection sheet="1"/>
  <printOptions/>
  <pageMargins left="0.75"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7"/>
  <sheetViews>
    <sheetView zoomScalePageLayoutView="0" workbookViewId="0" topLeftCell="A1">
      <selection activeCell="E29" sqref="E29"/>
    </sheetView>
  </sheetViews>
  <sheetFormatPr defaultColWidth="8.796875" defaultRowHeight="15"/>
  <cols>
    <col min="1" max="1" width="2.59765625" style="581" customWidth="1"/>
    <col min="2" max="4" width="8.8984375" style="581" customWidth="1"/>
    <col min="5" max="5" width="9.69921875" style="581" customWidth="1"/>
    <col min="6" max="6" width="8.8984375" style="581" customWidth="1"/>
    <col min="7" max="7" width="9.69921875" style="581" customWidth="1"/>
    <col min="8" max="16384" width="8.8984375" style="581" customWidth="1"/>
  </cols>
  <sheetData>
    <row r="1" spans="2:9" ht="15.75">
      <c r="B1" s="580"/>
      <c r="C1" s="580"/>
      <c r="D1" s="580"/>
      <c r="E1" s="580"/>
      <c r="F1" s="580"/>
      <c r="G1" s="580"/>
      <c r="H1" s="580"/>
      <c r="I1" s="580"/>
    </row>
    <row r="2" spans="2:9" ht="15.75">
      <c r="B2" s="977" t="s">
        <v>785</v>
      </c>
      <c r="C2" s="977"/>
      <c r="D2" s="977"/>
      <c r="E2" s="977"/>
      <c r="F2" s="977"/>
      <c r="G2" s="977"/>
      <c r="H2" s="977"/>
      <c r="I2" s="977"/>
    </row>
    <row r="3" spans="2:9" ht="15.75">
      <c r="B3" s="977" t="s">
        <v>786</v>
      </c>
      <c r="C3" s="977"/>
      <c r="D3" s="977"/>
      <c r="E3" s="977"/>
      <c r="F3" s="977"/>
      <c r="G3" s="977"/>
      <c r="H3" s="977"/>
      <c r="I3" s="977"/>
    </row>
    <row r="4" spans="2:9" ht="15.75">
      <c r="B4" s="582"/>
      <c r="C4" s="582"/>
      <c r="D4" s="582"/>
      <c r="E4" s="582"/>
      <c r="F4" s="582"/>
      <c r="G4" s="582"/>
      <c r="H4" s="582"/>
      <c r="I4" s="582"/>
    </row>
    <row r="5" spans="2:9" ht="15.75">
      <c r="B5" s="978" t="str">
        <f>CONCATENATE("Budgeted Year: ",inputPrYr!C10,"")</f>
        <v>Budgeted Year: </v>
      </c>
      <c r="C5" s="978"/>
      <c r="D5" s="978"/>
      <c r="E5" s="978"/>
      <c r="F5" s="978"/>
      <c r="G5" s="978"/>
      <c r="H5" s="978"/>
      <c r="I5" s="978"/>
    </row>
    <row r="6" spans="2:9" ht="15.75">
      <c r="B6" s="583"/>
      <c r="C6" s="582"/>
      <c r="D6" s="582"/>
      <c r="E6" s="582"/>
      <c r="F6" s="582"/>
      <c r="G6" s="582"/>
      <c r="H6" s="582"/>
      <c r="I6" s="582"/>
    </row>
    <row r="7" spans="2:9" ht="15.75">
      <c r="B7" s="583" t="str">
        <f>CONCATENATE("Library found in: ",inputPrYr!D3,"")</f>
        <v>Library found in: </v>
      </c>
      <c r="C7" s="582"/>
      <c r="D7" s="582"/>
      <c r="E7" s="582"/>
      <c r="F7" s="582"/>
      <c r="G7" s="582"/>
      <c r="H7" s="582"/>
      <c r="I7" s="582"/>
    </row>
    <row r="8" spans="2:9" ht="15.75">
      <c r="B8" s="583">
        <f>inputPrYr!D4</f>
        <v>0</v>
      </c>
      <c r="C8" s="582"/>
      <c r="D8" s="582"/>
      <c r="E8" s="582"/>
      <c r="F8" s="582"/>
      <c r="G8" s="582"/>
      <c r="H8" s="582"/>
      <c r="I8" s="582"/>
    </row>
    <row r="9" spans="2:9" ht="15.75">
      <c r="B9" s="582"/>
      <c r="C9" s="582"/>
      <c r="D9" s="582"/>
      <c r="E9" s="582"/>
      <c r="F9" s="582"/>
      <c r="G9" s="582"/>
      <c r="H9" s="582"/>
      <c r="I9" s="582"/>
    </row>
    <row r="10" spans="2:9" ht="39" customHeight="1">
      <c r="B10" s="979" t="s">
        <v>787</v>
      </c>
      <c r="C10" s="979"/>
      <c r="D10" s="979"/>
      <c r="E10" s="979"/>
      <c r="F10" s="979"/>
      <c r="G10" s="979"/>
      <c r="H10" s="979"/>
      <c r="I10" s="979"/>
    </row>
    <row r="11" spans="2:9" ht="15.75">
      <c r="B11" s="582"/>
      <c r="C11" s="582"/>
      <c r="D11" s="582"/>
      <c r="E11" s="582"/>
      <c r="F11" s="582"/>
      <c r="G11" s="582"/>
      <c r="H11" s="582"/>
      <c r="I11" s="582"/>
    </row>
    <row r="12" spans="2:9" ht="15.75">
      <c r="B12" s="584" t="s">
        <v>788</v>
      </c>
      <c r="C12" s="582"/>
      <c r="D12" s="582"/>
      <c r="E12" s="582"/>
      <c r="F12" s="582"/>
      <c r="G12" s="582"/>
      <c r="H12" s="582"/>
      <c r="I12" s="582"/>
    </row>
    <row r="13" spans="2:9" ht="15.75">
      <c r="B13" s="582"/>
      <c r="C13" s="582"/>
      <c r="D13" s="582"/>
      <c r="E13" s="585" t="s">
        <v>782</v>
      </c>
      <c r="F13" s="582"/>
      <c r="G13" s="585" t="s">
        <v>789</v>
      </c>
      <c r="H13" s="582"/>
      <c r="I13" s="582"/>
    </row>
    <row r="14" spans="2:9" ht="15.75">
      <c r="B14" s="582"/>
      <c r="C14" s="582"/>
      <c r="D14" s="582"/>
      <c r="E14" s="586">
        <f>inputPrYr!C10-1</f>
        <v>-1</v>
      </c>
      <c r="F14" s="582"/>
      <c r="G14" s="586">
        <f>inputPrYr!C10</f>
        <v>0</v>
      </c>
      <c r="H14" s="582"/>
      <c r="I14" s="582"/>
    </row>
    <row r="15" spans="2:9" ht="15.75">
      <c r="B15" s="583" t="str">
        <f>'DebtSvs-Library'!B49</f>
        <v>Ad Valorem Tax</v>
      </c>
      <c r="C15" s="582"/>
      <c r="D15" s="582"/>
      <c r="E15" s="587">
        <f>'DebtSvs-Library'!D49</f>
        <v>0</v>
      </c>
      <c r="F15" s="582"/>
      <c r="G15" s="587">
        <f>'DebtSvs-Library'!E84</f>
        <v>0</v>
      </c>
      <c r="H15" s="582"/>
      <c r="I15" s="582"/>
    </row>
    <row r="16" spans="2:9" ht="15.75">
      <c r="B16" s="583" t="str">
        <f>'DebtSvs-Library'!B50</f>
        <v>Delinquent Tax</v>
      </c>
      <c r="C16" s="582"/>
      <c r="D16" s="582"/>
      <c r="E16" s="587">
        <f>'DebtSvs-Library'!D51</f>
        <v>0</v>
      </c>
      <c r="F16" s="582"/>
      <c r="G16" s="587">
        <f>'DebtSvs-Library'!E50</f>
        <v>0</v>
      </c>
      <c r="H16" s="582"/>
      <c r="I16" s="582"/>
    </row>
    <row r="17" spans="2:9" ht="15.75">
      <c r="B17" s="583" t="str">
        <f>'DebtSvs-Library'!B51</f>
        <v>Motor Vehicle Tax</v>
      </c>
      <c r="C17" s="582"/>
      <c r="D17" s="582"/>
      <c r="E17" s="587">
        <f>'DebtSvs-Library'!D52</f>
        <v>0</v>
      </c>
      <c r="F17" s="582"/>
      <c r="G17" s="587" t="str">
        <f>'DebtSvs-Library'!E51</f>
        <v>  </v>
      </c>
      <c r="H17" s="582"/>
      <c r="I17" s="582"/>
    </row>
    <row r="18" spans="2:9" ht="15.75">
      <c r="B18" s="583" t="str">
        <f>'DebtSvs-Library'!B52</f>
        <v>Recreational Vehicle Tax</v>
      </c>
      <c r="C18" s="582"/>
      <c r="D18" s="582"/>
      <c r="E18" s="587">
        <f>'DebtSvs-Library'!D53</f>
        <v>0</v>
      </c>
      <c r="F18" s="582"/>
      <c r="G18" s="587" t="str">
        <f>'DebtSvs-Library'!E52</f>
        <v> </v>
      </c>
      <c r="H18" s="582"/>
      <c r="I18" s="582"/>
    </row>
    <row r="19" spans="2:9" ht="15.75">
      <c r="B19" s="583" t="str">
        <f>'DebtSvs-Library'!B53</f>
        <v>16/20M Vehicle Tax</v>
      </c>
      <c r="C19" s="582"/>
      <c r="D19" s="582"/>
      <c r="E19" s="587">
        <f>'DebtSvs-Library'!D56</f>
        <v>0</v>
      </c>
      <c r="F19" s="582"/>
      <c r="G19" s="587" t="str">
        <f>'DebtSvs-Library'!E53</f>
        <v> </v>
      </c>
      <c r="H19" s="582"/>
      <c r="I19" s="582"/>
    </row>
    <row r="20" spans="2:9" ht="15.75">
      <c r="B20" s="582" t="s">
        <v>74</v>
      </c>
      <c r="C20" s="582"/>
      <c r="D20" s="582"/>
      <c r="E20" s="587">
        <v>0</v>
      </c>
      <c r="F20" s="582"/>
      <c r="G20" s="587">
        <v>0</v>
      </c>
      <c r="H20" s="582"/>
      <c r="I20" s="582"/>
    </row>
    <row r="21" spans="2:9" ht="15.75">
      <c r="B21" s="582" t="s">
        <v>790</v>
      </c>
      <c r="C21" s="582"/>
      <c r="D21" s="582"/>
      <c r="E21" s="588">
        <f>SUM(E15:E20)</f>
        <v>0</v>
      </c>
      <c r="F21" s="582"/>
      <c r="G21" s="588">
        <f>SUM(G15:G20)</f>
        <v>0</v>
      </c>
      <c r="H21" s="582"/>
      <c r="I21" s="582"/>
    </row>
    <row r="22" spans="2:9" ht="15.75">
      <c r="B22" s="582" t="s">
        <v>791</v>
      </c>
      <c r="C22" s="582"/>
      <c r="D22" s="582"/>
      <c r="E22" s="589">
        <f>G21-E21</f>
        <v>0</v>
      </c>
      <c r="F22" s="582"/>
      <c r="G22" s="590"/>
      <c r="H22" s="582"/>
      <c r="I22" s="582"/>
    </row>
    <row r="23" spans="2:9" ht="15.75">
      <c r="B23" s="582" t="s">
        <v>792</v>
      </c>
      <c r="C23" s="582"/>
      <c r="D23" s="591" t="str">
        <f>IF((G21-E21)&gt;=0,"Qualify","Not Qualify")</f>
        <v>Qualify</v>
      </c>
      <c r="E23" s="582"/>
      <c r="F23" s="582"/>
      <c r="G23" s="582"/>
      <c r="H23" s="582"/>
      <c r="I23" s="582"/>
    </row>
    <row r="24" spans="2:9" ht="15.75">
      <c r="B24" s="582"/>
      <c r="C24" s="582"/>
      <c r="D24" s="582"/>
      <c r="E24" s="582"/>
      <c r="F24" s="582"/>
      <c r="G24" s="582"/>
      <c r="H24" s="582"/>
      <c r="I24" s="582"/>
    </row>
    <row r="25" spans="2:9" ht="15.75">
      <c r="B25" s="584" t="s">
        <v>793</v>
      </c>
      <c r="C25" s="582"/>
      <c r="D25" s="582"/>
      <c r="E25" s="582"/>
      <c r="F25" s="582"/>
      <c r="G25" s="582"/>
      <c r="H25" s="582"/>
      <c r="I25" s="582"/>
    </row>
    <row r="26" spans="2:9" ht="15.75">
      <c r="B26" s="582" t="s">
        <v>794</v>
      </c>
      <c r="C26" s="582"/>
      <c r="D26" s="582"/>
      <c r="E26" s="587">
        <f>summ!D61</f>
        <v>0</v>
      </c>
      <c r="F26" s="582"/>
      <c r="G26" s="587">
        <f>summ!F61</f>
        <v>0</v>
      </c>
      <c r="H26" s="582"/>
      <c r="I26" s="582"/>
    </row>
    <row r="27" spans="2:9" ht="15.75">
      <c r="B27" s="582" t="s">
        <v>795</v>
      </c>
      <c r="C27" s="582"/>
      <c r="D27" s="582"/>
      <c r="E27" s="592" t="str">
        <f>IF(G26-E26&gt;=0,"No","Yes")</f>
        <v>No</v>
      </c>
      <c r="F27" s="582"/>
      <c r="G27" s="582"/>
      <c r="H27" s="582"/>
      <c r="I27" s="582"/>
    </row>
    <row r="28" spans="2:9" ht="15.75">
      <c r="B28" s="582" t="s">
        <v>796</v>
      </c>
      <c r="C28" s="582"/>
      <c r="D28" s="582"/>
      <c r="E28" s="585" t="str">
        <f>summ!E21</f>
        <v>  </v>
      </c>
      <c r="F28" s="582"/>
      <c r="G28" s="593" t="str">
        <f>summ!H21</f>
        <v>  </v>
      </c>
      <c r="H28" s="582"/>
      <c r="I28" s="582"/>
    </row>
    <row r="29" spans="2:9" ht="15.75">
      <c r="B29" s="582" t="s">
        <v>797</v>
      </c>
      <c r="C29" s="582"/>
      <c r="D29" s="582"/>
      <c r="E29" s="594" t="e">
        <f>G28-E28</f>
        <v>#VALUE!</v>
      </c>
      <c r="F29" s="582"/>
      <c r="G29" s="582"/>
      <c r="H29" s="582"/>
      <c r="I29" s="582"/>
    </row>
    <row r="30" spans="2:9" ht="15.75">
      <c r="B30" s="582" t="s">
        <v>792</v>
      </c>
      <c r="C30" s="582"/>
      <c r="D30" s="595" t="e">
        <f>IF(E29&gt;=0,"Qualify","Not Qualify")</f>
        <v>#VALUE!</v>
      </c>
      <c r="E30" s="582"/>
      <c r="F30" s="582"/>
      <c r="G30" s="582"/>
      <c r="H30" s="582"/>
      <c r="I30" s="582"/>
    </row>
    <row r="31" spans="2:9" ht="15.75">
      <c r="B31" s="582"/>
      <c r="C31" s="582"/>
      <c r="D31" s="582"/>
      <c r="E31" s="582"/>
      <c r="F31" s="582"/>
      <c r="G31" s="582"/>
      <c r="H31" s="582"/>
      <c r="I31" s="582"/>
    </row>
    <row r="32" spans="2:9" ht="15.75">
      <c r="B32" s="582" t="s">
        <v>798</v>
      </c>
      <c r="C32" s="582"/>
      <c r="D32" s="582"/>
      <c r="E32" s="582"/>
      <c r="F32" s="596" t="str">
        <f>IF(D23="Not Qualify",IF(D30="Not Qualify",IF(D30="Not Qualify","Not Qualify","Qualify"),"Qualify"),"Qualify")</f>
        <v>Qualify</v>
      </c>
      <c r="G32" s="582"/>
      <c r="H32" s="582"/>
      <c r="I32" s="582"/>
    </row>
    <row r="33" spans="2:9" ht="15.75">
      <c r="B33" s="582"/>
      <c r="C33" s="582"/>
      <c r="D33" s="582"/>
      <c r="E33" s="582"/>
      <c r="F33" s="582"/>
      <c r="G33" s="582"/>
      <c r="H33" s="582"/>
      <c r="I33" s="582"/>
    </row>
    <row r="34" spans="2:9" ht="15.75">
      <c r="B34" s="582"/>
      <c r="C34" s="582"/>
      <c r="D34" s="582"/>
      <c r="E34" s="582"/>
      <c r="F34" s="582"/>
      <c r="G34" s="582"/>
      <c r="H34" s="582"/>
      <c r="I34" s="582"/>
    </row>
    <row r="35" spans="2:9" ht="37.5" customHeight="1">
      <c r="B35" s="979" t="s">
        <v>799</v>
      </c>
      <c r="C35" s="979"/>
      <c r="D35" s="979"/>
      <c r="E35" s="979"/>
      <c r="F35" s="979"/>
      <c r="G35" s="979"/>
      <c r="H35" s="979"/>
      <c r="I35" s="979"/>
    </row>
    <row r="36" spans="2:9" ht="15.75">
      <c r="B36" s="582"/>
      <c r="C36" s="582"/>
      <c r="D36" s="582"/>
      <c r="E36" s="582"/>
      <c r="F36" s="582"/>
      <c r="G36" s="582"/>
      <c r="H36" s="582"/>
      <c r="I36" s="582"/>
    </row>
    <row r="37" spans="2:9" ht="15.75">
      <c r="B37" s="582"/>
      <c r="C37" s="582"/>
      <c r="D37" s="582"/>
      <c r="E37" s="582"/>
      <c r="F37" s="582"/>
      <c r="G37" s="582"/>
      <c r="H37" s="582"/>
      <c r="I37" s="582"/>
    </row>
    <row r="38" spans="2:9" ht="15.75">
      <c r="B38" s="582"/>
      <c r="C38" s="582"/>
      <c r="D38" s="582"/>
      <c r="E38" s="582"/>
      <c r="F38" s="582"/>
      <c r="G38" s="582"/>
      <c r="H38" s="582"/>
      <c r="I38" s="582"/>
    </row>
    <row r="39" spans="2:9" ht="15.75">
      <c r="B39" s="582"/>
      <c r="C39" s="582"/>
      <c r="D39" s="582"/>
      <c r="E39" s="597" t="s">
        <v>275</v>
      </c>
      <c r="F39" s="598">
        <v>7</v>
      </c>
      <c r="G39" s="582"/>
      <c r="H39" s="582"/>
      <c r="I39" s="582"/>
    </row>
    <row r="40" spans="2:9" ht="15.75">
      <c r="B40" s="582"/>
      <c r="C40" s="582"/>
      <c r="D40" s="582"/>
      <c r="E40" s="582"/>
      <c r="F40" s="582"/>
      <c r="G40" s="582"/>
      <c r="H40" s="582"/>
      <c r="I40" s="582"/>
    </row>
    <row r="41" spans="2:9" ht="15.75">
      <c r="B41" s="582"/>
      <c r="C41" s="582"/>
      <c r="D41" s="582"/>
      <c r="E41" s="582"/>
      <c r="F41" s="582"/>
      <c r="G41" s="582"/>
      <c r="H41" s="582"/>
      <c r="I41" s="582"/>
    </row>
    <row r="42" spans="2:9" ht="15.75">
      <c r="B42" s="980" t="s">
        <v>800</v>
      </c>
      <c r="C42" s="981"/>
      <c r="D42" s="981"/>
      <c r="E42" s="981"/>
      <c r="F42" s="981"/>
      <c r="G42" s="981"/>
      <c r="H42" s="981"/>
      <c r="I42" s="981"/>
    </row>
    <row r="43" spans="2:9" ht="15.75">
      <c r="B43" s="582"/>
      <c r="C43" s="582"/>
      <c r="D43" s="582"/>
      <c r="E43" s="582"/>
      <c r="F43" s="582"/>
      <c r="G43" s="582"/>
      <c r="H43" s="582"/>
      <c r="I43" s="582"/>
    </row>
    <row r="44" spans="2:9" ht="15.75">
      <c r="B44" s="599" t="s">
        <v>801</v>
      </c>
      <c r="C44" s="582"/>
      <c r="D44" s="582"/>
      <c r="E44" s="582"/>
      <c r="F44" s="582"/>
      <c r="G44" s="582"/>
      <c r="H44" s="582"/>
      <c r="I44" s="582"/>
    </row>
    <row r="45" spans="2:9" ht="15.75">
      <c r="B45" s="599" t="str">
        <f>CONCATENATE("sources in your ",G14," library fund is not equal to or greater than the amount from the same")</f>
        <v>sources in your 0 library fund is not equal to or greater than the amount from the same</v>
      </c>
      <c r="C45" s="582"/>
      <c r="D45" s="582"/>
      <c r="E45" s="582"/>
      <c r="F45" s="582"/>
      <c r="G45" s="582"/>
      <c r="H45" s="582"/>
      <c r="I45" s="582"/>
    </row>
    <row r="46" spans="2:9" ht="15.75">
      <c r="B46" s="599" t="str">
        <f>CONCATENATE("sources in ",E14,".")</f>
        <v>sources in -1.</v>
      </c>
      <c r="C46" s="580"/>
      <c r="D46" s="580"/>
      <c r="E46" s="580"/>
      <c r="F46" s="580"/>
      <c r="G46" s="580"/>
      <c r="H46" s="580"/>
      <c r="I46" s="580"/>
    </row>
    <row r="47" spans="2:9" ht="15.75">
      <c r="B47" s="580"/>
      <c r="C47" s="580"/>
      <c r="D47" s="580"/>
      <c r="E47" s="580"/>
      <c r="F47" s="580"/>
      <c r="G47" s="580"/>
      <c r="H47" s="580"/>
      <c r="I47" s="580"/>
    </row>
    <row r="48" spans="2:9" ht="15.75">
      <c r="B48" s="599" t="s">
        <v>802</v>
      </c>
      <c r="C48" s="599"/>
      <c r="D48" s="600"/>
      <c r="E48" s="600"/>
      <c r="F48" s="600"/>
      <c r="G48" s="600"/>
      <c r="H48" s="600"/>
      <c r="I48" s="600"/>
    </row>
    <row r="49" spans="2:9" ht="15.75">
      <c r="B49" s="599" t="s">
        <v>803</v>
      </c>
      <c r="C49" s="599"/>
      <c r="D49" s="600"/>
      <c r="E49" s="600"/>
      <c r="F49" s="600"/>
      <c r="G49" s="600"/>
      <c r="H49" s="600"/>
      <c r="I49" s="600"/>
    </row>
    <row r="50" spans="2:9" ht="15.75">
      <c r="B50" s="599" t="s">
        <v>804</v>
      </c>
      <c r="C50" s="599"/>
      <c r="D50" s="600"/>
      <c r="E50" s="600"/>
      <c r="F50" s="600"/>
      <c r="G50" s="600"/>
      <c r="H50" s="600"/>
      <c r="I50" s="600"/>
    </row>
    <row r="51" spans="2:9" ht="15">
      <c r="B51" s="600"/>
      <c r="C51" s="600"/>
      <c r="D51" s="600"/>
      <c r="E51" s="600"/>
      <c r="F51" s="600"/>
      <c r="G51" s="600"/>
      <c r="H51" s="600"/>
      <c r="I51" s="600"/>
    </row>
    <row r="52" spans="2:9" ht="15.75">
      <c r="B52" s="601" t="s">
        <v>805</v>
      </c>
      <c r="C52" s="600"/>
      <c r="D52" s="600"/>
      <c r="E52" s="600"/>
      <c r="F52" s="600"/>
      <c r="G52" s="600"/>
      <c r="H52" s="600"/>
      <c r="I52" s="600"/>
    </row>
    <row r="53" spans="2:9" ht="15">
      <c r="B53" s="600"/>
      <c r="C53" s="600"/>
      <c r="D53" s="600"/>
      <c r="E53" s="600"/>
      <c r="F53" s="600"/>
      <c r="G53" s="600"/>
      <c r="H53" s="600"/>
      <c r="I53" s="600"/>
    </row>
    <row r="54" spans="2:9" ht="15.75">
      <c r="B54" s="599" t="s">
        <v>806</v>
      </c>
      <c r="C54" s="600"/>
      <c r="D54" s="600"/>
      <c r="E54" s="600"/>
      <c r="F54" s="600"/>
      <c r="G54" s="600"/>
      <c r="H54" s="600"/>
      <c r="I54" s="600"/>
    </row>
    <row r="55" spans="2:9" ht="15.75">
      <c r="B55" s="599" t="s">
        <v>807</v>
      </c>
      <c r="C55" s="600"/>
      <c r="D55" s="600"/>
      <c r="E55" s="600"/>
      <c r="F55" s="600"/>
      <c r="G55" s="600"/>
      <c r="H55" s="600"/>
      <c r="I55" s="600"/>
    </row>
    <row r="56" spans="2:9" ht="15">
      <c r="B56" s="600"/>
      <c r="C56" s="600"/>
      <c r="D56" s="600"/>
      <c r="E56" s="600"/>
      <c r="F56" s="600"/>
      <c r="G56" s="600"/>
      <c r="H56" s="600"/>
      <c r="I56" s="600"/>
    </row>
    <row r="57" spans="2:9" ht="15.75">
      <c r="B57" s="601" t="s">
        <v>808</v>
      </c>
      <c r="C57" s="599"/>
      <c r="D57" s="599"/>
      <c r="E57" s="599"/>
      <c r="F57" s="599"/>
      <c r="G57" s="600"/>
      <c r="H57" s="600"/>
      <c r="I57" s="600"/>
    </row>
    <row r="58" spans="2:9" ht="15.75">
      <c r="B58" s="599"/>
      <c r="C58" s="599"/>
      <c r="D58" s="599"/>
      <c r="E58" s="599"/>
      <c r="F58" s="599"/>
      <c r="G58" s="600"/>
      <c r="H58" s="600"/>
      <c r="I58" s="600"/>
    </row>
    <row r="59" spans="2:9" ht="15.75">
      <c r="B59" s="599" t="s">
        <v>809</v>
      </c>
      <c r="C59" s="599"/>
      <c r="D59" s="599"/>
      <c r="E59" s="599"/>
      <c r="F59" s="599"/>
      <c r="G59" s="600"/>
      <c r="H59" s="600"/>
      <c r="I59" s="600"/>
    </row>
    <row r="60" spans="2:9" ht="15.75">
      <c r="B60" s="599" t="s">
        <v>810</v>
      </c>
      <c r="C60" s="599"/>
      <c r="D60" s="599"/>
      <c r="E60" s="599"/>
      <c r="F60" s="599"/>
      <c r="G60" s="600"/>
      <c r="H60" s="600"/>
      <c r="I60" s="600"/>
    </row>
    <row r="61" spans="2:9" ht="15.75">
      <c r="B61" s="599" t="s">
        <v>811</v>
      </c>
      <c r="C61" s="599"/>
      <c r="D61" s="599"/>
      <c r="E61" s="599"/>
      <c r="F61" s="599"/>
      <c r="G61" s="600"/>
      <c r="H61" s="600"/>
      <c r="I61" s="600"/>
    </row>
    <row r="62" spans="2:9" ht="15.75">
      <c r="B62" s="599" t="s">
        <v>812</v>
      </c>
      <c r="C62" s="599"/>
      <c r="D62" s="599"/>
      <c r="E62" s="599"/>
      <c r="F62" s="599"/>
      <c r="G62" s="600"/>
      <c r="H62" s="600"/>
      <c r="I62" s="600"/>
    </row>
    <row r="63" spans="2:9" ht="15">
      <c r="B63" s="602"/>
      <c r="C63" s="602"/>
      <c r="D63" s="602"/>
      <c r="E63" s="602"/>
      <c r="F63" s="602"/>
      <c r="G63" s="600"/>
      <c r="H63" s="600"/>
      <c r="I63" s="600"/>
    </row>
    <row r="64" spans="2:9" ht="15.75">
      <c r="B64" s="599" t="s">
        <v>813</v>
      </c>
      <c r="C64" s="602"/>
      <c r="D64" s="602"/>
      <c r="E64" s="602"/>
      <c r="F64" s="602"/>
      <c r="G64" s="600"/>
      <c r="H64" s="600"/>
      <c r="I64" s="600"/>
    </row>
    <row r="65" spans="2:9" ht="15.75">
      <c r="B65" s="599" t="s">
        <v>814</v>
      </c>
      <c r="C65" s="602"/>
      <c r="D65" s="602"/>
      <c r="E65" s="602"/>
      <c r="F65" s="602"/>
      <c r="G65" s="600"/>
      <c r="H65" s="600"/>
      <c r="I65" s="600"/>
    </row>
    <row r="66" spans="2:9" ht="15">
      <c r="B66" s="602"/>
      <c r="C66" s="602"/>
      <c r="D66" s="602"/>
      <c r="E66" s="602"/>
      <c r="F66" s="602"/>
      <c r="G66" s="600"/>
      <c r="H66" s="600"/>
      <c r="I66" s="600"/>
    </row>
    <row r="67" spans="2:9" ht="15.75">
      <c r="B67" s="599" t="s">
        <v>815</v>
      </c>
      <c r="C67" s="602"/>
      <c r="D67" s="602"/>
      <c r="E67" s="602"/>
      <c r="F67" s="602"/>
      <c r="G67" s="600"/>
      <c r="H67" s="600"/>
      <c r="I67" s="600"/>
    </row>
    <row r="68" spans="2:9" ht="15.75">
      <c r="B68" s="599" t="s">
        <v>816</v>
      </c>
      <c r="C68" s="602"/>
      <c r="D68" s="602"/>
      <c r="E68" s="602"/>
      <c r="F68" s="602"/>
      <c r="G68" s="600"/>
      <c r="H68" s="600"/>
      <c r="I68" s="600"/>
    </row>
    <row r="69" spans="2:9" ht="15">
      <c r="B69" s="602"/>
      <c r="C69" s="602"/>
      <c r="D69" s="602"/>
      <c r="E69" s="602"/>
      <c r="F69" s="602"/>
      <c r="G69" s="600"/>
      <c r="H69" s="600"/>
      <c r="I69" s="600"/>
    </row>
    <row r="70" spans="2:9" ht="15.75">
      <c r="B70" s="601" t="s">
        <v>817</v>
      </c>
      <c r="C70" s="602"/>
      <c r="D70" s="602"/>
      <c r="E70" s="602"/>
      <c r="F70" s="602"/>
      <c r="G70" s="600"/>
      <c r="H70" s="600"/>
      <c r="I70" s="600"/>
    </row>
    <row r="71" spans="2:9" ht="15">
      <c r="B71" s="602"/>
      <c r="C71" s="602"/>
      <c r="D71" s="602"/>
      <c r="E71" s="602"/>
      <c r="F71" s="602"/>
      <c r="G71" s="600"/>
      <c r="H71" s="600"/>
      <c r="I71" s="600"/>
    </row>
    <row r="72" spans="2:9" ht="15.75">
      <c r="B72" s="599" t="s">
        <v>818</v>
      </c>
      <c r="C72" s="602"/>
      <c r="D72" s="602"/>
      <c r="E72" s="602"/>
      <c r="F72" s="602"/>
      <c r="G72" s="600"/>
      <c r="H72" s="600"/>
      <c r="I72" s="600"/>
    </row>
    <row r="73" spans="2:9" ht="15.75">
      <c r="B73" s="599" t="s">
        <v>819</v>
      </c>
      <c r="C73" s="602"/>
      <c r="D73" s="602"/>
      <c r="E73" s="602"/>
      <c r="F73" s="602"/>
      <c r="G73" s="600"/>
      <c r="H73" s="600"/>
      <c r="I73" s="600"/>
    </row>
    <row r="74" spans="2:9" ht="15">
      <c r="B74" s="602"/>
      <c r="C74" s="602"/>
      <c r="D74" s="602"/>
      <c r="E74" s="602"/>
      <c r="F74" s="602"/>
      <c r="G74" s="600"/>
      <c r="H74" s="600"/>
      <c r="I74" s="600"/>
    </row>
    <row r="75" spans="2:9" ht="15.75">
      <c r="B75" s="601" t="s">
        <v>820</v>
      </c>
      <c r="C75" s="602"/>
      <c r="D75" s="602"/>
      <c r="E75" s="602"/>
      <c r="F75" s="602"/>
      <c r="G75" s="600"/>
      <c r="H75" s="600"/>
      <c r="I75" s="600"/>
    </row>
    <row r="76" spans="2:9" ht="15">
      <c r="B76" s="602"/>
      <c r="C76" s="602"/>
      <c r="D76" s="602"/>
      <c r="E76" s="602"/>
      <c r="F76" s="602"/>
      <c r="G76" s="600"/>
      <c r="H76" s="600"/>
      <c r="I76" s="600"/>
    </row>
    <row r="77" spans="2:9" ht="15.75">
      <c r="B77" s="599" t="str">
        <f>CONCATENATE("If the ",G14," municipal budget has not been published and has not been submitted to the County")</f>
        <v>If the 0 municipal budget has not been published and has not been submitted to the County</v>
      </c>
      <c r="C77" s="602"/>
      <c r="D77" s="602"/>
      <c r="E77" s="602"/>
      <c r="F77" s="602"/>
      <c r="G77" s="600"/>
      <c r="H77" s="600"/>
      <c r="I77" s="600"/>
    </row>
    <row r="78" spans="2:9" ht="15.75">
      <c r="B78" s="599" t="s">
        <v>821</v>
      </c>
      <c r="C78" s="602"/>
      <c r="D78" s="602"/>
      <c r="E78" s="602"/>
      <c r="F78" s="602"/>
      <c r="G78" s="600"/>
      <c r="H78" s="600"/>
      <c r="I78" s="600"/>
    </row>
    <row r="79" spans="2:9" ht="15">
      <c r="B79" s="602"/>
      <c r="C79" s="602"/>
      <c r="D79" s="602"/>
      <c r="E79" s="602"/>
      <c r="F79" s="602"/>
      <c r="G79" s="600"/>
      <c r="H79" s="600"/>
      <c r="I79" s="600"/>
    </row>
    <row r="80" spans="2:9" ht="15.75">
      <c r="B80" s="601" t="s">
        <v>409</v>
      </c>
      <c r="C80" s="602"/>
      <c r="D80" s="602"/>
      <c r="E80" s="602"/>
      <c r="F80" s="602"/>
      <c r="G80" s="600"/>
      <c r="H80" s="600"/>
      <c r="I80" s="600"/>
    </row>
    <row r="81" spans="2:9" ht="15">
      <c r="B81" s="602"/>
      <c r="C81" s="602"/>
      <c r="D81" s="602"/>
      <c r="E81" s="602"/>
      <c r="F81" s="602"/>
      <c r="G81" s="600"/>
      <c r="H81" s="600"/>
      <c r="I81" s="600"/>
    </row>
    <row r="82" spans="2:9" ht="15.75">
      <c r="B82" s="599" t="s">
        <v>822</v>
      </c>
      <c r="C82" s="602"/>
      <c r="D82" s="602"/>
      <c r="E82" s="602"/>
      <c r="F82" s="602"/>
      <c r="G82" s="600"/>
      <c r="H82" s="600"/>
      <c r="I82" s="600"/>
    </row>
    <row r="83" spans="2:9" ht="15.75">
      <c r="B83" s="599" t="str">
        <f>CONCATENATE("Budget Year ",G14," is equal to or greater than that for Current Year Estimate ",E14,".")</f>
        <v>Budget Year 0 is equal to or greater than that for Current Year Estimate -1.</v>
      </c>
      <c r="C83" s="602"/>
      <c r="D83" s="602"/>
      <c r="E83" s="602"/>
      <c r="F83" s="602"/>
      <c r="G83" s="600"/>
      <c r="H83" s="600"/>
      <c r="I83" s="600"/>
    </row>
    <row r="84" spans="2:9" ht="15">
      <c r="B84" s="602"/>
      <c r="C84" s="602"/>
      <c r="D84" s="602"/>
      <c r="E84" s="602"/>
      <c r="F84" s="602"/>
      <c r="G84" s="600"/>
      <c r="H84" s="600"/>
      <c r="I84" s="600"/>
    </row>
    <row r="85" spans="2:9" ht="15.75">
      <c r="B85" s="599" t="s">
        <v>823</v>
      </c>
      <c r="C85" s="602"/>
      <c r="D85" s="602"/>
      <c r="E85" s="602"/>
      <c r="F85" s="602"/>
      <c r="G85" s="600"/>
      <c r="H85" s="600"/>
      <c r="I85" s="600"/>
    </row>
    <row r="86" spans="2:9" ht="15.75">
      <c r="B86" s="599" t="s">
        <v>824</v>
      </c>
      <c r="C86" s="602"/>
      <c r="D86" s="602"/>
      <c r="E86" s="602"/>
      <c r="F86" s="602"/>
      <c r="G86" s="600"/>
      <c r="H86" s="600"/>
      <c r="I86" s="600"/>
    </row>
    <row r="87" spans="2:9" ht="15.75">
      <c r="B87" s="599" t="s">
        <v>825</v>
      </c>
      <c r="C87" s="602"/>
      <c r="D87" s="602"/>
      <c r="E87" s="602"/>
      <c r="F87" s="602"/>
      <c r="G87" s="600"/>
      <c r="H87" s="600"/>
      <c r="I87" s="600"/>
    </row>
    <row r="88" spans="2:9" ht="15.75">
      <c r="B88" s="599" t="str">
        <f>CONCATENATE("purpose for the previous (",E14,") year.")</f>
        <v>purpose for the previous (-1) year.</v>
      </c>
      <c r="C88" s="602"/>
      <c r="D88" s="602"/>
      <c r="E88" s="602"/>
      <c r="F88" s="602"/>
      <c r="G88" s="600"/>
      <c r="H88" s="600"/>
      <c r="I88" s="600"/>
    </row>
    <row r="89" spans="2:9" ht="15">
      <c r="B89" s="602"/>
      <c r="C89" s="602"/>
      <c r="D89" s="602"/>
      <c r="E89" s="602"/>
      <c r="F89" s="602"/>
      <c r="G89" s="600"/>
      <c r="H89" s="600"/>
      <c r="I89" s="600"/>
    </row>
    <row r="90" spans="2:9" ht="15.75">
      <c r="B90" s="599" t="str">
        <f>CONCATENATE("Next, look to see if delinquent tax for ",G14," is budgeted. Often this line is budgeted at $0 or left")</f>
        <v>Next, look to see if delinquent tax for 0 is budgeted. Often this line is budgeted at $0 or left</v>
      </c>
      <c r="C90" s="602"/>
      <c r="D90" s="602"/>
      <c r="E90" s="602"/>
      <c r="F90" s="602"/>
      <c r="G90" s="600"/>
      <c r="H90" s="600"/>
      <c r="I90" s="600"/>
    </row>
    <row r="91" spans="2:9" ht="15.75">
      <c r="B91" s="599" t="s">
        <v>826</v>
      </c>
      <c r="C91" s="602"/>
      <c r="D91" s="602"/>
      <c r="E91" s="602"/>
      <c r="F91" s="602"/>
      <c r="G91" s="600"/>
      <c r="H91" s="600"/>
      <c r="I91" s="600"/>
    </row>
    <row r="92" spans="2:9" ht="15.75">
      <c r="B92" s="599" t="s">
        <v>827</v>
      </c>
      <c r="C92" s="602"/>
      <c r="D92" s="602"/>
      <c r="E92" s="602"/>
      <c r="F92" s="602"/>
      <c r="G92" s="600"/>
      <c r="H92" s="600"/>
      <c r="I92" s="600"/>
    </row>
    <row r="93" spans="2:9" ht="15.75">
      <c r="B93" s="599" t="s">
        <v>828</v>
      </c>
      <c r="C93" s="602"/>
      <c r="D93" s="602"/>
      <c r="E93" s="602"/>
      <c r="F93" s="602"/>
      <c r="G93" s="600"/>
      <c r="H93" s="600"/>
      <c r="I93" s="600"/>
    </row>
    <row r="94" spans="2:9" ht="15">
      <c r="B94" s="602"/>
      <c r="C94" s="602"/>
      <c r="D94" s="602"/>
      <c r="E94" s="602"/>
      <c r="F94" s="602"/>
      <c r="G94" s="600"/>
      <c r="H94" s="600"/>
      <c r="I94" s="600"/>
    </row>
    <row r="95" spans="2:9" ht="15.75">
      <c r="B95" s="601" t="s">
        <v>829</v>
      </c>
      <c r="C95" s="602"/>
      <c r="D95" s="602"/>
      <c r="E95" s="602"/>
      <c r="F95" s="602"/>
      <c r="G95" s="600"/>
      <c r="H95" s="600"/>
      <c r="I95" s="600"/>
    </row>
    <row r="96" spans="2:9" ht="15">
      <c r="B96" s="602"/>
      <c r="C96" s="602"/>
      <c r="D96" s="602"/>
      <c r="E96" s="602"/>
      <c r="F96" s="602"/>
      <c r="G96" s="600"/>
      <c r="H96" s="600"/>
      <c r="I96" s="600"/>
    </row>
    <row r="97" spans="2:9" ht="15.75">
      <c r="B97" s="599" t="s">
        <v>830</v>
      </c>
      <c r="C97" s="602"/>
      <c r="D97" s="602"/>
      <c r="E97" s="602"/>
      <c r="F97" s="602"/>
      <c r="G97" s="600"/>
      <c r="H97" s="600"/>
      <c r="I97" s="600"/>
    </row>
    <row r="98" spans="2:9" ht="15.75">
      <c r="B98" s="599" t="s">
        <v>831</v>
      </c>
      <c r="C98" s="602"/>
      <c r="D98" s="602"/>
      <c r="E98" s="602"/>
      <c r="F98" s="602"/>
      <c r="G98" s="600"/>
      <c r="H98" s="600"/>
      <c r="I98" s="600"/>
    </row>
    <row r="99" spans="2:9" ht="15">
      <c r="B99" s="602"/>
      <c r="C99" s="602"/>
      <c r="D99" s="602"/>
      <c r="E99" s="602"/>
      <c r="F99" s="602"/>
      <c r="G99" s="600"/>
      <c r="H99" s="600"/>
      <c r="I99" s="600"/>
    </row>
    <row r="100" spans="2:9" ht="15.75">
      <c r="B100" s="599" t="s">
        <v>832</v>
      </c>
      <c r="C100" s="602"/>
      <c r="D100" s="602"/>
      <c r="E100" s="602"/>
      <c r="F100" s="602"/>
      <c r="G100" s="600"/>
      <c r="H100" s="600"/>
      <c r="I100" s="600"/>
    </row>
    <row r="101" spans="2:9" ht="15.75">
      <c r="B101" s="599" t="s">
        <v>833</v>
      </c>
      <c r="C101" s="602"/>
      <c r="D101" s="602"/>
      <c r="E101" s="602"/>
      <c r="F101" s="602"/>
      <c r="G101" s="600"/>
      <c r="H101" s="600"/>
      <c r="I101" s="600"/>
    </row>
    <row r="102" spans="2:9" ht="15.75">
      <c r="B102" s="599" t="s">
        <v>834</v>
      </c>
      <c r="C102" s="602"/>
      <c r="D102" s="602"/>
      <c r="E102" s="602"/>
      <c r="F102" s="602"/>
      <c r="G102" s="600"/>
      <c r="H102" s="600"/>
      <c r="I102" s="600"/>
    </row>
    <row r="103" spans="2:9" ht="15.75">
      <c r="B103" s="599" t="s">
        <v>835</v>
      </c>
      <c r="C103" s="602"/>
      <c r="D103" s="602"/>
      <c r="E103" s="602"/>
      <c r="F103" s="602"/>
      <c r="G103" s="600"/>
      <c r="H103" s="600"/>
      <c r="I103" s="600"/>
    </row>
    <row r="104" spans="2:9" ht="15.75">
      <c r="B104" s="737" t="s">
        <v>995</v>
      </c>
      <c r="C104" s="738"/>
      <c r="D104" s="738"/>
      <c r="E104" s="738"/>
      <c r="F104" s="738"/>
      <c r="G104" s="600"/>
      <c r="H104" s="600"/>
      <c r="I104" s="600"/>
    </row>
    <row r="107" ht="15">
      <c r="G107" s="603"/>
    </row>
  </sheetData>
  <sheetProtection sheet="1"/>
  <mergeCells count="6">
    <mergeCell ref="B2:I2"/>
    <mergeCell ref="B3:I3"/>
    <mergeCell ref="B5:I5"/>
    <mergeCell ref="B10:I10"/>
    <mergeCell ref="B35:I35"/>
    <mergeCell ref="B42:I42"/>
  </mergeCells>
  <hyperlinks>
    <hyperlink ref="B104" r:id="rId1" display="megan.schulz@library.ks.gov "/>
  </hyperlinks>
  <printOptions/>
  <pageMargins left="0.7" right="0.7" top="0.75" bottom="0.75" header="0.25" footer="0.25"/>
  <pageSetup blackAndWhite="1" horizontalDpi="600" verticalDpi="600" orientation="portrait" scale="80" r:id="rId2"/>
  <rowBreaks count="1" manualBreakCount="1">
    <brk id="39"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49"/>
  <sheetViews>
    <sheetView zoomScalePageLayoutView="0" workbookViewId="0" topLeftCell="A1">
      <selection activeCell="Q172" sqref="Q172"/>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8.09765625" style="77" customWidth="1"/>
    <col min="7" max="7" width="10.19921875" style="77" customWidth="1"/>
    <col min="8" max="8" width="8.8984375" style="77" customWidth="1"/>
    <col min="9" max="9" width="5.6992187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456" t="s">
        <v>6</v>
      </c>
      <c r="C3" s="334"/>
      <c r="D3" s="334"/>
      <c r="E3" s="334"/>
    </row>
    <row r="4" spans="2:5" ht="15.75">
      <c r="B4" s="195" t="s">
        <v>264</v>
      </c>
      <c r="C4" s="573" t="s">
        <v>781</v>
      </c>
      <c r="D4" s="574" t="s">
        <v>782</v>
      </c>
      <c r="E4" s="168" t="s">
        <v>783</v>
      </c>
    </row>
    <row r="5" spans="2:11" ht="15.75">
      <c r="B5" s="520" t="str">
        <f>inputPrYr!B22</f>
        <v>General</v>
      </c>
      <c r="C5" s="399" t="str">
        <f>CONCATENATE("Actual for ",E1-2,"")</f>
        <v>Actual for -2</v>
      </c>
      <c r="D5" s="399" t="str">
        <f>CONCATENATE("Estimate for ",E1-1,"")</f>
        <v>Estimate for -1</v>
      </c>
      <c r="E5" s="218" t="str">
        <f>CONCATENATE("Year for ",E1,"")</f>
        <v>Year for 0</v>
      </c>
      <c r="K5" s="579"/>
    </row>
    <row r="6" spans="2:5" ht="15.75">
      <c r="B6" s="311" t="s">
        <v>47</v>
      </c>
      <c r="C6" s="391"/>
      <c r="D6" s="396">
        <f>C114</f>
        <v>0</v>
      </c>
      <c r="E6" s="297">
        <f>D114</f>
        <v>0</v>
      </c>
    </row>
    <row r="7" spans="2:5" ht="15.75">
      <c r="B7" s="312" t="s">
        <v>49</v>
      </c>
      <c r="C7" s="182"/>
      <c r="D7" s="182"/>
      <c r="E7" s="109"/>
    </row>
    <row r="8" spans="2:5" ht="15.75">
      <c r="B8" s="311" t="s">
        <v>265</v>
      </c>
      <c r="C8" s="391"/>
      <c r="D8" s="396">
        <f>IF(inputPrYr!H21&gt;0,inputPrYr!G22,inputPrYr!E22)</f>
        <v>0</v>
      </c>
      <c r="E8" s="335" t="s">
        <v>254</v>
      </c>
    </row>
    <row r="9" spans="2:5" ht="15.75">
      <c r="B9" s="311" t="s">
        <v>266</v>
      </c>
      <c r="C9" s="391"/>
      <c r="D9" s="391"/>
      <c r="E9" s="95"/>
    </row>
    <row r="10" spans="2:5" ht="15.75">
      <c r="B10" s="311" t="s">
        <v>267</v>
      </c>
      <c r="C10" s="391"/>
      <c r="D10" s="391"/>
      <c r="E10" s="297">
        <f>mvalloc!D8</f>
        <v>0</v>
      </c>
    </row>
    <row r="11" spans="2:5" ht="15.75">
      <c r="B11" s="311" t="s">
        <v>268</v>
      </c>
      <c r="C11" s="391"/>
      <c r="D11" s="391"/>
      <c r="E11" s="297">
        <f>mvalloc!E8</f>
        <v>0</v>
      </c>
    </row>
    <row r="12" spans="2:5" ht="15.75">
      <c r="B12" s="311" t="s">
        <v>37</v>
      </c>
      <c r="C12" s="391"/>
      <c r="D12" s="391"/>
      <c r="E12" s="297">
        <f>mvalloc!F8</f>
        <v>0</v>
      </c>
    </row>
    <row r="13" spans="2:5" ht="15.75">
      <c r="B13" s="866" t="s">
        <v>1023</v>
      </c>
      <c r="C13" s="391"/>
      <c r="D13" s="391"/>
      <c r="E13" s="297">
        <f>mvalloc!G8</f>
        <v>0</v>
      </c>
    </row>
    <row r="14" spans="2:5" ht="15.75">
      <c r="B14" s="866" t="s">
        <v>1024</v>
      </c>
      <c r="C14" s="391"/>
      <c r="D14" s="391"/>
      <c r="E14" s="297">
        <f>mvalloc!H8</f>
        <v>0</v>
      </c>
    </row>
    <row r="15" spans="2:5" ht="15.75">
      <c r="B15" s="311" t="s">
        <v>38</v>
      </c>
      <c r="C15" s="391"/>
      <c r="D15" s="391"/>
      <c r="E15" s="297">
        <f>inputOth!E24</f>
        <v>0</v>
      </c>
    </row>
    <row r="16" spans="2:5" ht="15.75">
      <c r="B16" s="311" t="s">
        <v>74</v>
      </c>
      <c r="C16" s="391"/>
      <c r="D16" s="391"/>
      <c r="E16" s="297">
        <f>inputOth!E61</f>
        <v>0</v>
      </c>
    </row>
    <row r="17" spans="2:5" ht="15.75">
      <c r="B17" s="311" t="s">
        <v>75</v>
      </c>
      <c r="C17" s="391"/>
      <c r="D17" s="391"/>
      <c r="E17" s="297">
        <f>inputOth!E62</f>
        <v>0</v>
      </c>
    </row>
    <row r="18" spans="2:5" ht="15.75">
      <c r="B18" s="336" t="s">
        <v>271</v>
      </c>
      <c r="C18" s="391"/>
      <c r="D18" s="391"/>
      <c r="E18" s="95"/>
    </row>
    <row r="19" spans="2:5" ht="15.75">
      <c r="B19" s="336" t="s">
        <v>269</v>
      </c>
      <c r="C19" s="391"/>
      <c r="D19" s="391"/>
      <c r="E19" s="95"/>
    </row>
    <row r="20" spans="2:5" ht="15.75">
      <c r="B20" s="408" t="s">
        <v>647</v>
      </c>
      <c r="C20" s="391"/>
      <c r="D20" s="391"/>
      <c r="E20" s="95"/>
    </row>
    <row r="21" spans="2:5" ht="15.75">
      <c r="B21" s="408" t="s">
        <v>648</v>
      </c>
      <c r="C21" s="391"/>
      <c r="D21" s="391"/>
      <c r="E21" s="95"/>
    </row>
    <row r="22" spans="2:5" ht="15.75">
      <c r="B22" s="408"/>
      <c r="C22" s="391"/>
      <c r="D22" s="391"/>
      <c r="E22" s="95"/>
    </row>
    <row r="23" spans="2:5" ht="15.75">
      <c r="B23" s="336"/>
      <c r="C23" s="391"/>
      <c r="D23" s="391"/>
      <c r="E23" s="95"/>
    </row>
    <row r="24" spans="2:5" ht="15.75">
      <c r="B24" s="336"/>
      <c r="C24" s="391"/>
      <c r="D24" s="391"/>
      <c r="E24" s="95"/>
    </row>
    <row r="25" spans="2:5" ht="15.75">
      <c r="B25" s="336"/>
      <c r="C25" s="391"/>
      <c r="D25" s="391"/>
      <c r="E25" s="95"/>
    </row>
    <row r="26" spans="2:5" ht="15.75">
      <c r="B26" s="336"/>
      <c r="C26" s="391"/>
      <c r="D26" s="391"/>
      <c r="E26" s="95"/>
    </row>
    <row r="27" spans="2:5" ht="15.75">
      <c r="B27" s="336"/>
      <c r="C27" s="391"/>
      <c r="D27" s="391"/>
      <c r="E27" s="95"/>
    </row>
    <row r="28" spans="2:5" ht="15.75">
      <c r="B28" s="336"/>
      <c r="C28" s="391"/>
      <c r="D28" s="391"/>
      <c r="E28" s="95"/>
    </row>
    <row r="29" spans="2:5" ht="15.75">
      <c r="B29" s="336"/>
      <c r="C29" s="391"/>
      <c r="D29" s="391"/>
      <c r="E29" s="95"/>
    </row>
    <row r="30" spans="2:5" ht="15.75">
      <c r="B30" s="336"/>
      <c r="C30" s="391"/>
      <c r="D30" s="391"/>
      <c r="E30" s="95"/>
    </row>
    <row r="31" spans="2:5" ht="15.75">
      <c r="B31" s="336"/>
      <c r="C31" s="391"/>
      <c r="D31" s="391"/>
      <c r="E31" s="95"/>
    </row>
    <row r="32" spans="2:5" ht="15.75">
      <c r="B32" s="336"/>
      <c r="C32" s="391"/>
      <c r="D32" s="391"/>
      <c r="E32" s="95"/>
    </row>
    <row r="33" spans="2:5" ht="15.75">
      <c r="B33" s="336"/>
      <c r="C33" s="391"/>
      <c r="D33" s="391"/>
      <c r="E33" s="95"/>
    </row>
    <row r="34" spans="2:5" ht="15.75">
      <c r="B34" s="336"/>
      <c r="C34" s="391"/>
      <c r="D34" s="391"/>
      <c r="E34" s="95"/>
    </row>
    <row r="35" spans="2:5" ht="15.75">
      <c r="B35" s="336"/>
      <c r="C35" s="391"/>
      <c r="D35" s="391"/>
      <c r="E35" s="95"/>
    </row>
    <row r="36" spans="2:5" ht="15.75">
      <c r="B36" s="336"/>
      <c r="C36" s="391"/>
      <c r="D36" s="391"/>
      <c r="E36" s="95"/>
    </row>
    <row r="37" spans="2:5" ht="15.75">
      <c r="B37" s="336"/>
      <c r="C37" s="391"/>
      <c r="D37" s="391"/>
      <c r="E37" s="95"/>
    </row>
    <row r="38" spans="2:5" ht="15.75">
      <c r="B38" s="336"/>
      <c r="C38" s="391"/>
      <c r="D38" s="391"/>
      <c r="E38" s="95"/>
    </row>
    <row r="39" spans="2:5" ht="15.75">
      <c r="B39" s="336"/>
      <c r="C39" s="391"/>
      <c r="D39" s="391"/>
      <c r="E39" s="95"/>
    </row>
    <row r="40" spans="2:5" ht="15.75">
      <c r="B40" s="336"/>
      <c r="C40" s="391"/>
      <c r="D40" s="391"/>
      <c r="E40" s="95"/>
    </row>
    <row r="41" spans="2:5" ht="15.75">
      <c r="B41" s="336"/>
      <c r="C41" s="391"/>
      <c r="D41" s="391"/>
      <c r="E41" s="95"/>
    </row>
    <row r="42" spans="2:5" ht="15.75">
      <c r="B42" s="336"/>
      <c r="C42" s="391"/>
      <c r="D42" s="391"/>
      <c r="E42" s="95"/>
    </row>
    <row r="43" spans="2:5" ht="15.75">
      <c r="B43" s="336"/>
      <c r="C43" s="391"/>
      <c r="D43" s="391"/>
      <c r="E43" s="95"/>
    </row>
    <row r="44" spans="2:5" ht="15.75">
      <c r="B44" s="336"/>
      <c r="C44" s="391"/>
      <c r="D44" s="391"/>
      <c r="E44" s="95"/>
    </row>
    <row r="45" spans="2:5" ht="15.75">
      <c r="B45" s="336"/>
      <c r="C45" s="391"/>
      <c r="D45" s="391"/>
      <c r="E45" s="95"/>
    </row>
    <row r="46" spans="2:5" ht="15.75">
      <c r="B46" s="336"/>
      <c r="C46" s="391"/>
      <c r="D46" s="391"/>
      <c r="E46" s="95"/>
    </row>
    <row r="47" spans="2:5" ht="15.75">
      <c r="B47" s="336"/>
      <c r="C47" s="391"/>
      <c r="D47" s="391"/>
      <c r="E47" s="95"/>
    </row>
    <row r="48" spans="2:5" ht="15.75">
      <c r="B48" s="336"/>
      <c r="C48" s="391"/>
      <c r="D48" s="391"/>
      <c r="E48" s="95"/>
    </row>
    <row r="49" spans="2:5" ht="15.75">
      <c r="B49" s="336"/>
      <c r="C49" s="391"/>
      <c r="D49" s="391"/>
      <c r="E49" s="95"/>
    </row>
    <row r="50" spans="2:5" ht="15.75">
      <c r="B50" s="336"/>
      <c r="C50" s="391"/>
      <c r="D50" s="391"/>
      <c r="E50" s="95"/>
    </row>
    <row r="51" spans="2:5" ht="15.75">
      <c r="B51" s="336"/>
      <c r="C51" s="391"/>
      <c r="D51" s="391"/>
      <c r="E51" s="95"/>
    </row>
    <row r="52" spans="2:5" ht="15.75">
      <c r="B52" s="336"/>
      <c r="C52" s="391"/>
      <c r="D52" s="391"/>
      <c r="E52" s="95"/>
    </row>
    <row r="53" spans="2:5" ht="15.75">
      <c r="B53" s="336"/>
      <c r="C53" s="391"/>
      <c r="D53" s="391"/>
      <c r="E53" s="95"/>
    </row>
    <row r="54" spans="2:5" ht="15.75">
      <c r="B54" s="336" t="s">
        <v>270</v>
      </c>
      <c r="C54" s="391"/>
      <c r="D54" s="391"/>
      <c r="E54" s="95"/>
    </row>
    <row r="55" spans="2:5" ht="15.75">
      <c r="B55" s="313" t="s">
        <v>272</v>
      </c>
      <c r="C55" s="391"/>
      <c r="D55" s="391"/>
      <c r="E55" s="104"/>
    </row>
    <row r="56" spans="2:5" ht="15.75">
      <c r="B56" s="303" t="s">
        <v>162</v>
      </c>
      <c r="C56" s="391"/>
      <c r="D56" s="391"/>
      <c r="E56" s="333">
        <f>nhood!E6*-1</f>
        <v>0</v>
      </c>
    </row>
    <row r="57" spans="2:5" ht="15.75">
      <c r="B57" s="303" t="s">
        <v>163</v>
      </c>
      <c r="C57" s="391"/>
      <c r="D57" s="391"/>
      <c r="E57" s="95"/>
    </row>
    <row r="58" spans="2:5" ht="15.75">
      <c r="B58" s="303" t="s">
        <v>645</v>
      </c>
      <c r="C58" s="392">
        <f>IF(C59*0.1&lt;C57,"Exceed 10% Rule","")</f>
      </c>
      <c r="D58" s="392">
        <f>IF(D59*0.1&lt;D57,"Exceed 10% Rule","")</f>
      </c>
      <c r="E58" s="330">
        <f>IF(E59*0.1+E120&lt;E57,"Exceed 10% Rule","")</f>
      </c>
    </row>
    <row r="59" spans="2:5" ht="15.75">
      <c r="B59" s="305" t="s">
        <v>273</v>
      </c>
      <c r="C59" s="395">
        <f>SUM(C8:C57)</f>
        <v>0</v>
      </c>
      <c r="D59" s="395">
        <f>SUM(D8:D57)</f>
        <v>0</v>
      </c>
      <c r="E59" s="307">
        <f>SUM(E9:E57)</f>
        <v>0</v>
      </c>
    </row>
    <row r="60" spans="2:5" ht="15.75">
      <c r="B60" s="305" t="s">
        <v>274</v>
      </c>
      <c r="C60" s="395">
        <f>C6+C59</f>
        <v>0</v>
      </c>
      <c r="D60" s="395">
        <f>D6+D59</f>
        <v>0</v>
      </c>
      <c r="E60" s="307">
        <f>E6+E59</f>
        <v>0</v>
      </c>
    </row>
    <row r="61" spans="2:5" ht="15.75">
      <c r="B61" s="81"/>
      <c r="C61" s="81"/>
      <c r="D61" s="81"/>
      <c r="E61" s="81"/>
    </row>
    <row r="62" spans="2:5" ht="15.75">
      <c r="B62" s="142"/>
      <c r="C62" s="161" t="s">
        <v>283</v>
      </c>
      <c r="D62" s="195">
        <f>IF(inputPrYr!D24&gt;0,8,7)</f>
        <v>7</v>
      </c>
      <c r="E62" s="142"/>
    </row>
    <row r="63" spans="2:5" ht="15.75">
      <c r="B63" s="142"/>
      <c r="C63" s="142"/>
      <c r="D63" s="142"/>
      <c r="E63" s="142"/>
    </row>
    <row r="64" spans="2:5" ht="15.75">
      <c r="B64" s="205">
        <f>inputPrYr!D3</f>
        <v>0</v>
      </c>
      <c r="C64" s="81"/>
      <c r="D64" s="81"/>
      <c r="E64" s="191"/>
    </row>
    <row r="65" spans="2:5" ht="15.75">
      <c r="B65" s="81"/>
      <c r="C65" s="81"/>
      <c r="D65" s="81"/>
      <c r="E65" s="161"/>
    </row>
    <row r="66" spans="2:5" ht="15.75">
      <c r="B66" s="237" t="s">
        <v>5</v>
      </c>
      <c r="C66" s="229"/>
      <c r="D66" s="229"/>
      <c r="E66" s="229"/>
    </row>
    <row r="67" spans="2:5" ht="15.75">
      <c r="B67" s="81" t="s">
        <v>264</v>
      </c>
      <c r="C67" s="533" t="s">
        <v>287</v>
      </c>
      <c r="D67" s="534" t="s">
        <v>61</v>
      </c>
      <c r="E67" s="535" t="s">
        <v>62</v>
      </c>
    </row>
    <row r="68" spans="2:5" ht="15.75">
      <c r="B68" s="103" t="str">
        <f>inputPrYr!B22</f>
        <v>General</v>
      </c>
      <c r="C68" s="394" t="str">
        <f>C5</f>
        <v>Actual for -2</v>
      </c>
      <c r="D68" s="394" t="str">
        <f>D5</f>
        <v>Estimate for -1</v>
      </c>
      <c r="E68" s="310" t="str">
        <f>E5</f>
        <v>Year for 0</v>
      </c>
    </row>
    <row r="69" spans="2:5" ht="15.75">
      <c r="B69" s="337" t="s">
        <v>274</v>
      </c>
      <c r="C69" s="393">
        <f>C60</f>
        <v>0</v>
      </c>
      <c r="D69" s="393">
        <f>D60</f>
        <v>0</v>
      </c>
      <c r="E69" s="106">
        <f>E60</f>
        <v>0</v>
      </c>
    </row>
    <row r="70" spans="2:5" ht="15.75">
      <c r="B70" s="312" t="s">
        <v>276</v>
      </c>
      <c r="C70" s="182"/>
      <c r="D70" s="182"/>
      <c r="E70" s="109"/>
    </row>
    <row r="71" spans="2:5" ht="15.75">
      <c r="B71" s="338">
        <f>GenDetail!A6</f>
        <v>0</v>
      </c>
      <c r="C71" s="717">
        <f>GenDetail!B14</f>
        <v>0</v>
      </c>
      <c r="D71" s="717">
        <f>GenDetail!C14</f>
        <v>0</v>
      </c>
      <c r="E71" s="718">
        <f>GenDetail!D14</f>
        <v>0</v>
      </c>
    </row>
    <row r="72" spans="2:5" ht="15.75">
      <c r="B72" s="338">
        <f>GenDetail!A15</f>
        <v>0</v>
      </c>
      <c r="C72" s="717">
        <f>GenDetail!B21</f>
        <v>0</v>
      </c>
      <c r="D72" s="717">
        <f>GenDetail!C21</f>
        <v>0</v>
      </c>
      <c r="E72" s="718">
        <f>GenDetail!D21</f>
        <v>0</v>
      </c>
    </row>
    <row r="73" spans="2:5" ht="15.75">
      <c r="B73" s="338">
        <f>GenDetail!A22</f>
        <v>0</v>
      </c>
      <c r="C73" s="717">
        <f>GenDetail!B28</f>
        <v>0</v>
      </c>
      <c r="D73" s="717">
        <f>GenDetail!C28</f>
        <v>0</v>
      </c>
      <c r="E73" s="718">
        <f>GenDetail!D28</f>
        <v>0</v>
      </c>
    </row>
    <row r="74" spans="2:5" ht="15.75">
      <c r="B74" s="338">
        <f>GenDetail!A29</f>
        <v>0</v>
      </c>
      <c r="C74" s="717">
        <f>GenDetail!B34</f>
        <v>0</v>
      </c>
      <c r="D74" s="717">
        <f>GenDetail!C34</f>
        <v>0</v>
      </c>
      <c r="E74" s="718">
        <f>GenDetail!D34</f>
        <v>0</v>
      </c>
    </row>
    <row r="75" spans="2:5" ht="15.75">
      <c r="B75" s="338">
        <f>GenDetail!A35</f>
        <v>0</v>
      </c>
      <c r="C75" s="717">
        <f>GenDetail!B41</f>
        <v>0</v>
      </c>
      <c r="D75" s="717">
        <f>GenDetail!C41</f>
        <v>0</v>
      </c>
      <c r="E75" s="718">
        <f>GenDetail!D41</f>
        <v>0</v>
      </c>
    </row>
    <row r="76" spans="2:5" ht="15.75">
      <c r="B76" s="338">
        <f>GenDetail!A42</f>
        <v>0</v>
      </c>
      <c r="C76" s="717">
        <f>GenDetail!B48</f>
        <v>0</v>
      </c>
      <c r="D76" s="717">
        <f>GenDetail!C48</f>
        <v>0</v>
      </c>
      <c r="E76" s="718">
        <f>GenDetail!D48</f>
        <v>0</v>
      </c>
    </row>
    <row r="77" spans="2:5" ht="15.75">
      <c r="B77" s="338">
        <f>GenDetail!A49</f>
        <v>0</v>
      </c>
      <c r="C77" s="717">
        <f>GenDetail!B55</f>
        <v>0</v>
      </c>
      <c r="D77" s="717">
        <f>GenDetail!C55</f>
        <v>0</v>
      </c>
      <c r="E77" s="718">
        <f>GenDetail!D55</f>
        <v>0</v>
      </c>
    </row>
    <row r="78" spans="2:5" ht="15.75">
      <c r="B78" s="338">
        <f>GenDetail!A56</f>
        <v>0</v>
      </c>
      <c r="C78" s="717">
        <f>GenDetail!B62</f>
        <v>0</v>
      </c>
      <c r="D78" s="717">
        <f>GenDetail!C62</f>
        <v>0</v>
      </c>
      <c r="E78" s="718">
        <f>GenDetail!D62</f>
        <v>0</v>
      </c>
    </row>
    <row r="79" spans="2:5" ht="15.75">
      <c r="B79" s="338">
        <f>GenDetail!A73</f>
        <v>0</v>
      </c>
      <c r="C79" s="717">
        <f>GenDetail!B79</f>
        <v>0</v>
      </c>
      <c r="D79" s="717">
        <f>GenDetail!C79</f>
        <v>0</v>
      </c>
      <c r="E79" s="718">
        <f>GenDetail!D79</f>
        <v>0</v>
      </c>
    </row>
    <row r="80" spans="2:5" ht="15.75">
      <c r="B80" s="338">
        <f>GenDetail!A80</f>
        <v>0</v>
      </c>
      <c r="C80" s="717">
        <f>GenDetail!B86</f>
        <v>0</v>
      </c>
      <c r="D80" s="717">
        <f>GenDetail!C86</f>
        <v>0</v>
      </c>
      <c r="E80" s="718">
        <f>GenDetail!D86</f>
        <v>0</v>
      </c>
    </row>
    <row r="81" spans="2:5" ht="15.75">
      <c r="B81" s="338">
        <f>GenDetail!A87</f>
        <v>0</v>
      </c>
      <c r="C81" s="717">
        <f>GenDetail!B93</f>
        <v>0</v>
      </c>
      <c r="D81" s="717">
        <f>GenDetail!C93</f>
        <v>0</v>
      </c>
      <c r="E81" s="718">
        <f>GenDetail!D93</f>
        <v>0</v>
      </c>
    </row>
    <row r="82" spans="2:5" ht="15.75">
      <c r="B82" s="338">
        <f>GenDetail!A94</f>
        <v>0</v>
      </c>
      <c r="C82" s="717">
        <f>GenDetail!B99</f>
        <v>0</v>
      </c>
      <c r="D82" s="717">
        <f>GenDetail!C99</f>
        <v>0</v>
      </c>
      <c r="E82" s="718">
        <f>GenDetail!D99</f>
        <v>0</v>
      </c>
    </row>
    <row r="83" spans="2:5" ht="15.75">
      <c r="B83" s="338">
        <f>GenDetail!A100</f>
        <v>0</v>
      </c>
      <c r="C83" s="717">
        <f>GenDetail!B106</f>
        <v>0</v>
      </c>
      <c r="D83" s="717">
        <f>GenDetail!C106</f>
        <v>0</v>
      </c>
      <c r="E83" s="718">
        <f>GenDetail!D106</f>
        <v>0</v>
      </c>
    </row>
    <row r="84" spans="2:5" ht="15.75">
      <c r="B84" s="338">
        <f>GenDetail!A107</f>
        <v>0</v>
      </c>
      <c r="C84" s="717">
        <f>GenDetail!B113</f>
        <v>0</v>
      </c>
      <c r="D84" s="717">
        <f>GenDetail!C113</f>
        <v>0</v>
      </c>
      <c r="E84" s="718">
        <f>GenDetail!D113</f>
        <v>0</v>
      </c>
    </row>
    <row r="85" spans="2:5" ht="15.75">
      <c r="B85" s="338">
        <f>GenDetail!A114</f>
        <v>0</v>
      </c>
      <c r="C85" s="717">
        <f>GenDetail!B120</f>
        <v>0</v>
      </c>
      <c r="D85" s="717">
        <f>GenDetail!C120</f>
        <v>0</v>
      </c>
      <c r="E85" s="718">
        <f>GenDetail!D120</f>
        <v>0</v>
      </c>
    </row>
    <row r="86" spans="2:5" ht="15.75">
      <c r="B86" s="338">
        <f>GenDetail!A121</f>
        <v>0</v>
      </c>
      <c r="C86" s="717">
        <f>GenDetail!B127</f>
        <v>0</v>
      </c>
      <c r="D86" s="717">
        <f>GenDetail!C127</f>
        <v>0</v>
      </c>
      <c r="E86" s="718">
        <f>GenDetail!D127</f>
        <v>0</v>
      </c>
    </row>
    <row r="87" spans="2:5" ht="15.75">
      <c r="B87" s="339" t="s">
        <v>646</v>
      </c>
      <c r="C87" s="719">
        <f>SUM(C71:C86)</f>
        <v>0</v>
      </c>
      <c r="D87" s="719">
        <f>SUM(D71:D86)</f>
        <v>0</v>
      </c>
      <c r="E87" s="720">
        <f>SUM(E71:E86)</f>
        <v>0</v>
      </c>
    </row>
    <row r="88" spans="2:5" ht="15.75">
      <c r="B88" s="313"/>
      <c r="C88" s="391"/>
      <c r="D88" s="391"/>
      <c r="E88" s="95"/>
    </row>
    <row r="89" spans="2:5" ht="15.75">
      <c r="B89" s="313"/>
      <c r="C89" s="391"/>
      <c r="D89" s="391"/>
      <c r="E89" s="95"/>
    </row>
    <row r="90" spans="2:5" ht="15.75">
      <c r="B90" s="313"/>
      <c r="C90" s="391"/>
      <c r="D90" s="391"/>
      <c r="E90" s="95"/>
    </row>
    <row r="91" spans="2:5" ht="15.75">
      <c r="B91" s="313"/>
      <c r="C91" s="391"/>
      <c r="D91" s="391"/>
      <c r="E91" s="95"/>
    </row>
    <row r="92" spans="2:5" ht="15.75">
      <c r="B92" s="313"/>
      <c r="C92" s="391"/>
      <c r="D92" s="391"/>
      <c r="E92" s="95"/>
    </row>
    <row r="93" spans="2:5" ht="15.75">
      <c r="B93" s="313"/>
      <c r="C93" s="391"/>
      <c r="D93" s="391"/>
      <c r="E93" s="95"/>
    </row>
    <row r="94" spans="2:5" ht="15.75">
      <c r="B94" s="299"/>
      <c r="C94" s="391"/>
      <c r="D94" s="391"/>
      <c r="E94" s="95"/>
    </row>
    <row r="95" spans="2:5" ht="15.75">
      <c r="B95" s="299"/>
      <c r="C95" s="391"/>
      <c r="D95" s="391"/>
      <c r="E95" s="95"/>
    </row>
    <row r="96" spans="2:10" ht="15.75">
      <c r="B96" s="299"/>
      <c r="C96" s="391"/>
      <c r="D96" s="391"/>
      <c r="E96" s="95"/>
      <c r="G96" s="988" t="str">
        <f>CONCATENATE("Desired Carryover Into ",E1+1,"")</f>
        <v>Desired Carryover Into 1</v>
      </c>
      <c r="H96" s="989"/>
      <c r="I96" s="989"/>
      <c r="J96" s="990"/>
    </row>
    <row r="97" spans="2:10" ht="15.75">
      <c r="B97" s="299"/>
      <c r="C97" s="391"/>
      <c r="D97" s="391"/>
      <c r="E97" s="95"/>
      <c r="G97" s="637"/>
      <c r="H97" s="638"/>
      <c r="I97" s="638"/>
      <c r="J97" s="639"/>
    </row>
    <row r="98" spans="2:10" ht="15.75">
      <c r="B98" s="299"/>
      <c r="C98" s="391"/>
      <c r="D98" s="391"/>
      <c r="E98" s="95"/>
      <c r="G98" s="640" t="s">
        <v>652</v>
      </c>
      <c r="H98" s="641"/>
      <c r="I98" s="641"/>
      <c r="J98" s="642">
        <v>0</v>
      </c>
    </row>
    <row r="99" spans="2:10" ht="15.75">
      <c r="B99" s="299"/>
      <c r="C99" s="391"/>
      <c r="D99" s="391"/>
      <c r="E99" s="95"/>
      <c r="G99" s="643" t="s">
        <v>653</v>
      </c>
      <c r="H99" s="644"/>
      <c r="I99" s="645"/>
      <c r="J99" s="646">
        <f>IF(J98=0,"",ROUND((J98+E120-G111)/inputOth!B14*1000,3)-G116)</f>
      </c>
    </row>
    <row r="100" spans="2:10" ht="15.75">
      <c r="B100" s="299"/>
      <c r="C100" s="391"/>
      <c r="D100" s="391"/>
      <c r="E100" s="95"/>
      <c r="G100" s="647" t="str">
        <f>CONCATENATE("",E1," Tot Exp/Non-Appr Must Be:")</f>
        <v>0 Tot Exp/Non-Appr Must Be:</v>
      </c>
      <c r="H100" s="648"/>
      <c r="I100" s="649"/>
      <c r="J100" s="650">
        <f>IF(J98&gt;0,IF(E117&lt;E60,IF(J98=G111,E117,((J98-G111)*(1-D119))+E60),E117+(J98-G111)),0)</f>
        <v>0</v>
      </c>
    </row>
    <row r="101" spans="2:10" ht="15.75">
      <c r="B101" s="299"/>
      <c r="C101" s="391"/>
      <c r="D101" s="391"/>
      <c r="E101" s="95"/>
      <c r="G101" s="651" t="s">
        <v>866</v>
      </c>
      <c r="H101" s="652"/>
      <c r="I101" s="652"/>
      <c r="J101" s="653">
        <f>IF(J98&gt;0,J100-E117,0)</f>
        <v>0</v>
      </c>
    </row>
    <row r="102" spans="2:5" ht="15.75">
      <c r="B102" s="299"/>
      <c r="C102" s="391"/>
      <c r="D102" s="391"/>
      <c r="E102" s="95"/>
    </row>
    <row r="103" spans="2:10" ht="15.75">
      <c r="B103" s="299"/>
      <c r="C103" s="391"/>
      <c r="D103" s="391"/>
      <c r="E103" s="95"/>
      <c r="G103" s="988" t="str">
        <f>CONCATENATE("Projected Carryover Into ",E1+1,"")</f>
        <v>Projected Carryover Into 1</v>
      </c>
      <c r="H103" s="991"/>
      <c r="I103" s="991"/>
      <c r="J103" s="992"/>
    </row>
    <row r="104" spans="2:10" ht="15.75">
      <c r="B104" s="299"/>
      <c r="C104" s="391"/>
      <c r="D104" s="391"/>
      <c r="E104" s="95"/>
      <c r="G104" s="637"/>
      <c r="H104" s="638"/>
      <c r="I104" s="638"/>
      <c r="J104" s="639"/>
    </row>
    <row r="105" spans="2:10" ht="15.75">
      <c r="B105" s="299"/>
      <c r="C105" s="391"/>
      <c r="D105" s="391"/>
      <c r="E105" s="95"/>
      <c r="G105" s="654">
        <f>D114</f>
        <v>0</v>
      </c>
      <c r="H105" s="655" t="str">
        <f>CONCATENATE("",E1-1," Ending Cash Balance (est.)")</f>
        <v>-1 Ending Cash Balance (est.)</v>
      </c>
      <c r="I105" s="656"/>
      <c r="J105" s="639"/>
    </row>
    <row r="106" spans="2:10" ht="15.75">
      <c r="B106" s="299"/>
      <c r="C106" s="391"/>
      <c r="D106" s="391"/>
      <c r="E106" s="95"/>
      <c r="G106" s="654">
        <f>E59</f>
        <v>0</v>
      </c>
      <c r="H106" s="641" t="str">
        <f>CONCATENATE("",E1," Non-AV Receipts (est.)")</f>
        <v>0 Non-AV Receipts (est.)</v>
      </c>
      <c r="I106" s="656"/>
      <c r="J106" s="639"/>
    </row>
    <row r="107" spans="2:11" ht="15.75">
      <c r="B107" s="299"/>
      <c r="C107" s="391"/>
      <c r="D107" s="391"/>
      <c r="E107" s="95"/>
      <c r="G107" s="657">
        <f>IF(E119&gt;0,E118,E120)</f>
        <v>0</v>
      </c>
      <c r="H107" s="641" t="str">
        <f>CONCATENATE("",E1," Ad Valorem Tax (est.)")</f>
        <v>0 Ad Valorem Tax (est.)</v>
      </c>
      <c r="I107" s="656"/>
      <c r="J107" s="639"/>
      <c r="K107" s="658">
        <f>IF(G107=E120,"","Note: Does not include Delinquent Taxes")</f>
      </c>
    </row>
    <row r="108" spans="2:10" ht="15.75">
      <c r="B108" s="299"/>
      <c r="C108" s="391"/>
      <c r="D108" s="391"/>
      <c r="E108" s="95"/>
      <c r="G108" s="654">
        <f>SUM(G105:G107)</f>
        <v>0</v>
      </c>
      <c r="H108" s="641" t="str">
        <f>CONCATENATE("Total ",E1," Resources Available")</f>
        <v>Total 0 Resources Available</v>
      </c>
      <c r="I108" s="656"/>
      <c r="J108" s="639"/>
    </row>
    <row r="109" spans="2:10" ht="15.75">
      <c r="B109" s="299"/>
      <c r="C109" s="391"/>
      <c r="D109" s="391"/>
      <c r="E109" s="95"/>
      <c r="G109" s="660"/>
      <c r="H109" s="641"/>
      <c r="I109" s="641"/>
      <c r="J109" s="639"/>
    </row>
    <row r="110" spans="2:10" ht="15.75">
      <c r="B110" s="303" t="str">
        <f>CONCATENATE("Cash Forward (",E1," column)")</f>
        <v>Cash Forward (0 column)</v>
      </c>
      <c r="C110" s="391"/>
      <c r="D110" s="391"/>
      <c r="E110" s="95"/>
      <c r="G110" s="657">
        <f>ROUND(C113*0.05+C113,0)</f>
        <v>0</v>
      </c>
      <c r="H110" s="641" t="str">
        <f>CONCATENATE("Less ",E1-2," Expenditures + 5%")</f>
        <v>Less -2 Expenditures + 5%</v>
      </c>
      <c r="I110" s="656"/>
      <c r="J110" s="639"/>
    </row>
    <row r="111" spans="2:10" ht="15.75">
      <c r="B111" s="303" t="s">
        <v>163</v>
      </c>
      <c r="C111" s="391"/>
      <c r="D111" s="391"/>
      <c r="E111" s="300"/>
      <c r="G111" s="661">
        <f>G108-G110</f>
        <v>0</v>
      </c>
      <c r="H111" s="662" t="str">
        <f>CONCATENATE("Projected ",E1+1," Carryover (est.)")</f>
        <v>Projected 1 Carryover (est.)</v>
      </c>
      <c r="I111" s="663"/>
      <c r="J111" s="664"/>
    </row>
    <row r="112" spans="2:5" ht="15.75">
      <c r="B112" s="303" t="s">
        <v>644</v>
      </c>
      <c r="C112" s="392">
        <f>IF(C113*0.1&lt;C111,"Exceed 10% Rule","")</f>
      </c>
      <c r="D112" s="392">
        <f>IF(D113*0.1&lt;D111,"Exceed 10% Rule","")</f>
      </c>
      <c r="E112" s="330">
        <f>IF(E113*0.1&lt;E111,"Exceed 10% Rule","")</f>
      </c>
    </row>
    <row r="113" spans="2:10" ht="15.75">
      <c r="B113" s="305" t="s">
        <v>280</v>
      </c>
      <c r="C113" s="395">
        <f>SUM(C87:C111)</f>
        <v>0</v>
      </c>
      <c r="D113" s="395">
        <f>SUM(D87:D111)</f>
        <v>0</v>
      </c>
      <c r="E113" s="307">
        <f>SUM(E87:E111)</f>
        <v>0</v>
      </c>
      <c r="G113" s="993" t="s">
        <v>867</v>
      </c>
      <c r="H113" s="994"/>
      <c r="I113" s="994"/>
      <c r="J113" s="995"/>
    </row>
    <row r="114" spans="2:10" ht="15.75">
      <c r="B114" s="137" t="s">
        <v>48</v>
      </c>
      <c r="C114" s="393">
        <f>C60-C113</f>
        <v>0</v>
      </c>
      <c r="D114" s="393">
        <f>D60-D113</f>
        <v>0</v>
      </c>
      <c r="E114" s="335" t="s">
        <v>254</v>
      </c>
      <c r="G114" s="665"/>
      <c r="H114" s="666"/>
      <c r="I114" s="667"/>
      <c r="J114" s="668"/>
    </row>
    <row r="115" spans="2:10" ht="15.75">
      <c r="B115" s="195" t="str">
        <f>CONCATENATE("",E1-2,"/",E1-1,"/",E1," Budget Authority Amount:")</f>
        <v>-2/-1/0 Budget Authority Amount:</v>
      </c>
      <c r="C115" s="326">
        <f>inputOth!B81</f>
        <v>0</v>
      </c>
      <c r="D115" s="326">
        <f>inputPrYr!D22</f>
        <v>0</v>
      </c>
      <c r="E115" s="297">
        <f>E113</f>
        <v>0</v>
      </c>
      <c r="F115" s="319"/>
      <c r="G115" s="669" t="str">
        <f>summ!H19</f>
        <v>  </v>
      </c>
      <c r="H115" s="666" t="str">
        <f>CONCATENATE("",E1," Fund Mill Rate")</f>
        <v>0 Fund Mill Rate</v>
      </c>
      <c r="I115" s="667"/>
      <c r="J115" s="668"/>
    </row>
    <row r="116" spans="2:10" ht="15.75">
      <c r="B116" s="161"/>
      <c r="C116" s="984" t="s">
        <v>649</v>
      </c>
      <c r="D116" s="985"/>
      <c r="E116" s="300"/>
      <c r="F116" s="659">
        <f>IF((E113/0.95)-E113&lt;E116,"Exceeds 5% ","")</f>
      </c>
      <c r="G116" s="670" t="str">
        <f>summ!E19</f>
        <v>  </v>
      </c>
      <c r="H116" s="666" t="str">
        <f>CONCATENATE("",E1-1," Fund Mill Rate")</f>
        <v>-1 Fund Mill Rate</v>
      </c>
      <c r="I116" s="667"/>
      <c r="J116" s="668"/>
    </row>
    <row r="117" spans="2:10" ht="15.75">
      <c r="B117" s="500" t="str">
        <f>CONCATENATE(C148,"     ",D148)</f>
        <v>     </v>
      </c>
      <c r="C117" s="986" t="s">
        <v>650</v>
      </c>
      <c r="D117" s="987"/>
      <c r="E117" s="741">
        <f>E113+E116</f>
        <v>0</v>
      </c>
      <c r="G117" s="671">
        <f>summ!H56</f>
        <v>0</v>
      </c>
      <c r="H117" s="666" t="str">
        <f>CONCATENATE("Total ",E1," Mill Rate")</f>
        <v>Total 0 Mill Rate</v>
      </c>
      <c r="I117" s="667"/>
      <c r="J117" s="668"/>
    </row>
    <row r="118" spans="2:10" ht="15.75">
      <c r="B118" s="500" t="str">
        <f>CONCATENATE(C149,"     ",D149)</f>
        <v>     </v>
      </c>
      <c r="C118" s="309"/>
      <c r="D118" s="191" t="s">
        <v>281</v>
      </c>
      <c r="E118" s="100">
        <f>IF(E117-E60&gt;0,E117-E60,0)</f>
        <v>0</v>
      </c>
      <c r="G118" s="670">
        <f>summ!E56</f>
        <v>0</v>
      </c>
      <c r="H118" s="672" t="str">
        <f>CONCATENATE("Total ",E1-1," Mill Rate")</f>
        <v>Total -1 Mill Rate</v>
      </c>
      <c r="I118" s="673"/>
      <c r="J118" s="674"/>
    </row>
    <row r="119" spans="2:10" ht="15.75">
      <c r="B119" s="191"/>
      <c r="C119" s="452" t="s">
        <v>651</v>
      </c>
      <c r="D119" s="721">
        <f>inputOth!E66</f>
        <v>0</v>
      </c>
      <c r="E119" s="109">
        <f>ROUND(IF(D119&gt;0,(E118*D119),0),0)</f>
        <v>0</v>
      </c>
      <c r="G119" s="675"/>
      <c r="H119" s="676"/>
      <c r="I119" s="676"/>
      <c r="J119" s="677"/>
    </row>
    <row r="120" spans="2:10" ht="16.5" thickBot="1">
      <c r="B120" s="81"/>
      <c r="C120" s="982" t="str">
        <f>CONCATENATE("Amount of  ",$E$1-1," Ad Valorem Tax")</f>
        <v>Amount of  -1 Ad Valorem Tax</v>
      </c>
      <c r="D120" s="983"/>
      <c r="E120" s="740">
        <f>E118+E119</f>
        <v>0</v>
      </c>
      <c r="G120" s="881" t="s">
        <v>1036</v>
      </c>
      <c r="H120" s="882"/>
      <c r="I120" s="884"/>
      <c r="J120" s="883" t="str">
        <f>cert!F57</f>
        <v>No</v>
      </c>
    </row>
    <row r="121" spans="2:10" ht="16.5" thickTop="1">
      <c r="B121" s="81"/>
      <c r="C121" s="81"/>
      <c r="D121" s="81"/>
      <c r="E121" s="81"/>
      <c r="G121" s="880" t="str">
        <f>CONCATENATE("Computed ",E1," tax levy limit amount")</f>
        <v>Computed 0 tax levy limit amount</v>
      </c>
      <c r="H121" s="879"/>
      <c r="I121" s="878"/>
      <c r="J121" s="877">
        <f>computation!J47</f>
        <v>0</v>
      </c>
    </row>
    <row r="122" spans="2:10" ht="15.75">
      <c r="B122" s="142"/>
      <c r="C122" s="161" t="s">
        <v>283</v>
      </c>
      <c r="D122" s="195" t="str">
        <f>CONCATENATE("",D62,"a")</f>
        <v>7a</v>
      </c>
      <c r="E122" s="142"/>
      <c r="G122" s="876" t="str">
        <f>CONCATENATE("Total ",E1," tax levy amount")</f>
        <v>Total 0 tax levy amount</v>
      </c>
      <c r="H122" s="652"/>
      <c r="I122" s="652"/>
      <c r="J122" s="875">
        <f>summ!G56</f>
        <v>0</v>
      </c>
    </row>
    <row r="124" ht="15.75">
      <c r="B124" s="121"/>
    </row>
    <row r="127" spans="2:3" ht="15.75">
      <c r="B127" s="65"/>
      <c r="C127" s="65"/>
    </row>
    <row r="148" spans="3:4" ht="15.75">
      <c r="C148" s="77">
        <f>IF(C113&gt;C115,"See Tab A","")</f>
      </c>
      <c r="D148" s="77">
        <f>IF(D113&gt;D115,"See Tab C","")</f>
      </c>
    </row>
    <row r="149" spans="3:4" ht="15.75">
      <c r="C149" s="77">
        <f>IF(C114&lt;0,"See Tab B","")</f>
      </c>
      <c r="D149" s="77">
        <f>IF(D114&lt;0,"See Tab D","")</f>
      </c>
    </row>
  </sheetData>
  <sheetProtection sheet="1"/>
  <mergeCells count="6">
    <mergeCell ref="C120:D120"/>
    <mergeCell ref="C116:D116"/>
    <mergeCell ref="C117:D117"/>
    <mergeCell ref="G96:J96"/>
    <mergeCell ref="G103:J103"/>
    <mergeCell ref="G113:J113"/>
  </mergeCells>
  <conditionalFormatting sqref="E111">
    <cfRule type="cellIs" priority="2" dxfId="326" operator="greaterThan" stopIfTrue="1">
      <formula>$E$113*0.1</formula>
    </cfRule>
  </conditionalFormatting>
  <conditionalFormatting sqref="E116">
    <cfRule type="cellIs" priority="3" dxfId="326" operator="greaterThan" stopIfTrue="1">
      <formula>$E$113/0.95-$E$113</formula>
    </cfRule>
  </conditionalFormatting>
  <conditionalFormatting sqref="C113">
    <cfRule type="cellIs" priority="4" dxfId="1" operator="greaterThan" stopIfTrue="1">
      <formula>$C$115</formula>
    </cfRule>
  </conditionalFormatting>
  <conditionalFormatting sqref="C57">
    <cfRule type="cellIs" priority="5" dxfId="1" operator="greaterThan" stopIfTrue="1">
      <formula>$C$59*0.1</formula>
    </cfRule>
  </conditionalFormatting>
  <conditionalFormatting sqref="D57">
    <cfRule type="cellIs" priority="6" dxfId="1" operator="greaterThan" stopIfTrue="1">
      <formula>$D$59*0.1</formula>
    </cfRule>
  </conditionalFormatting>
  <conditionalFormatting sqref="C111">
    <cfRule type="cellIs" priority="7" dxfId="1" operator="greaterThan" stopIfTrue="1">
      <formula>$C$113*0.1</formula>
    </cfRule>
  </conditionalFormatting>
  <conditionalFormatting sqref="D111">
    <cfRule type="cellIs" priority="8" dxfId="1" operator="greaterThan" stopIfTrue="1">
      <formula>$D$113*0.1</formula>
    </cfRule>
  </conditionalFormatting>
  <conditionalFormatting sqref="D113">
    <cfRule type="cellIs" priority="9" dxfId="1" operator="greaterThan" stopIfTrue="1">
      <formula>$D$115</formula>
    </cfRule>
  </conditionalFormatting>
  <conditionalFormatting sqref="C114">
    <cfRule type="cellIs" priority="10" dxfId="1" operator="lessThan" stopIfTrue="1">
      <formula>0</formula>
    </cfRule>
  </conditionalFormatting>
  <conditionalFormatting sqref="D114">
    <cfRule type="cellIs" priority="1" dxfId="0" operator="lessThan" stopIfTrue="1">
      <formula>0</formula>
    </cfRule>
  </conditionalFormatting>
  <conditionalFormatting sqref="E57">
    <cfRule type="cellIs" priority="56" dxfId="326" operator="greaterThan" stopIfTrue="1">
      <formula>$E$59*0.1+$E$120</formula>
    </cfRule>
  </conditionalFormatting>
  <printOptions/>
  <pageMargins left="0.5" right="0.5" top="1" bottom="0.5" header="0.5" footer="0.5"/>
  <pageSetup blackAndWhite="1" fitToHeight="2" fitToWidth="1" horizontalDpi="120" verticalDpi="120" orientation="portrait" scale="68" r:id="rId1"/>
  <headerFooter alignWithMargins="0">
    <oddHeader>&amp;RState of Kansas
City</oddHeader>
  </headerFooter>
  <rowBreaks count="1" manualBreakCount="1">
    <brk id="62" max="255" man="1"/>
  </rowBreaks>
</worksheet>
</file>

<file path=xl/worksheets/sheet14.xml><?xml version="1.0" encoding="utf-8"?>
<worksheet xmlns="http://schemas.openxmlformats.org/spreadsheetml/2006/main" xmlns:r="http://schemas.openxmlformats.org/officeDocument/2006/relationships">
  <dimension ref="A1:F133"/>
  <sheetViews>
    <sheetView workbookViewId="0" topLeftCell="A1">
      <selection activeCell="P165" sqref="P165"/>
    </sheetView>
  </sheetViews>
  <sheetFormatPr defaultColWidth="8.796875" defaultRowHeight="15"/>
  <cols>
    <col min="1" max="1" width="28.296875" style="65" customWidth="1"/>
    <col min="2" max="3" width="15.796875" style="65" customWidth="1"/>
    <col min="4" max="4" width="16.09765625" style="65" customWidth="1"/>
    <col min="5" max="16384" width="8.8984375" style="65" customWidth="1"/>
  </cols>
  <sheetData>
    <row r="1" spans="1:4" ht="15.75">
      <c r="A1" s="205">
        <f>inputPrYr!D3</f>
        <v>0</v>
      </c>
      <c r="B1" s="81"/>
      <c r="C1" s="195"/>
      <c r="D1" s="81">
        <f>inputPrYr!C10</f>
        <v>0</v>
      </c>
    </row>
    <row r="2" spans="1:4" ht="15.75">
      <c r="A2" s="293"/>
      <c r="B2" s="340"/>
      <c r="C2" s="340"/>
      <c r="D2" s="340"/>
    </row>
    <row r="3" spans="1:4" ht="15.75">
      <c r="A3" s="195" t="s">
        <v>264</v>
      </c>
      <c r="B3" s="573" t="s">
        <v>781</v>
      </c>
      <c r="C3" s="574" t="s">
        <v>782</v>
      </c>
      <c r="D3" s="168" t="s">
        <v>783</v>
      </c>
    </row>
    <row r="4" spans="1:4" ht="15.75">
      <c r="A4" s="88" t="s">
        <v>200</v>
      </c>
      <c r="B4" s="399" t="str">
        <f>CONCATENATE("Actual for ",D1-2,"")</f>
        <v>Actual for -2</v>
      </c>
      <c r="C4" s="399" t="str">
        <f>CONCATENATE("Estimate for ",D1-1,"")</f>
        <v>Estimate for -1</v>
      </c>
      <c r="D4" s="218" t="str">
        <f>CONCATENATE("Year for ",D1,"")</f>
        <v>Year for 0</v>
      </c>
    </row>
    <row r="5" spans="1:4" ht="15.75">
      <c r="A5" s="341" t="s">
        <v>276</v>
      </c>
      <c r="B5" s="109"/>
      <c r="C5" s="109"/>
      <c r="D5" s="109"/>
    </row>
    <row r="6" spans="1:4" ht="15.75">
      <c r="A6" s="342"/>
      <c r="B6" s="109"/>
      <c r="C6" s="109"/>
      <c r="D6" s="109"/>
    </row>
    <row r="7" spans="1:4" ht="15.75">
      <c r="A7" s="343" t="s">
        <v>284</v>
      </c>
      <c r="B7" s="300"/>
      <c r="C7" s="300"/>
      <c r="D7" s="300"/>
    </row>
    <row r="8" spans="1:4" ht="15.75">
      <c r="A8" s="343" t="s">
        <v>277</v>
      </c>
      <c r="B8" s="300"/>
      <c r="C8" s="300"/>
      <c r="D8" s="300"/>
    </row>
    <row r="9" spans="1:4" ht="15.75">
      <c r="A9" s="343" t="s">
        <v>278</v>
      </c>
      <c r="B9" s="300"/>
      <c r="C9" s="300"/>
      <c r="D9" s="300"/>
    </row>
    <row r="10" spans="1:4" ht="15.75">
      <c r="A10" s="343" t="s">
        <v>279</v>
      </c>
      <c r="B10" s="300"/>
      <c r="C10" s="300"/>
      <c r="D10" s="300"/>
    </row>
    <row r="11" spans="1:4" ht="15.75">
      <c r="A11" s="343"/>
      <c r="B11" s="300"/>
      <c r="C11" s="300"/>
      <c r="D11" s="300"/>
    </row>
    <row r="12" spans="1:4" ht="15.75">
      <c r="A12" s="97"/>
      <c r="B12" s="300"/>
      <c r="C12" s="300"/>
      <c r="D12" s="300"/>
    </row>
    <row r="13" spans="1:4" ht="15.75">
      <c r="A13" s="97"/>
      <c r="B13" s="300"/>
      <c r="C13" s="300"/>
      <c r="D13" s="300"/>
    </row>
    <row r="14" spans="1:4" ht="15.75">
      <c r="A14" s="341" t="s">
        <v>241</v>
      </c>
      <c r="B14" s="306">
        <f>SUM(B7:B13)</f>
        <v>0</v>
      </c>
      <c r="C14" s="306">
        <f>SUM(C7:C13)</f>
        <v>0</v>
      </c>
      <c r="D14" s="306">
        <f>SUM(D7:D13)</f>
        <v>0</v>
      </c>
    </row>
    <row r="15" spans="1:4" ht="15.75">
      <c r="A15" s="247"/>
      <c r="B15" s="205"/>
      <c r="C15" s="205"/>
      <c r="D15" s="205"/>
    </row>
    <row r="16" spans="1:4" ht="15.75">
      <c r="A16" s="343" t="s">
        <v>284</v>
      </c>
      <c r="B16" s="300"/>
      <c r="C16" s="300"/>
      <c r="D16" s="300"/>
    </row>
    <row r="17" spans="1:4" ht="15.75">
      <c r="A17" s="343" t="s">
        <v>277</v>
      </c>
      <c r="B17" s="300"/>
      <c r="C17" s="300"/>
      <c r="D17" s="300"/>
    </row>
    <row r="18" spans="1:4" ht="15.75">
      <c r="A18" s="343" t="s">
        <v>278</v>
      </c>
      <c r="B18" s="300"/>
      <c r="C18" s="300"/>
      <c r="D18" s="300"/>
    </row>
    <row r="19" spans="1:4" ht="15.75">
      <c r="A19" s="343" t="s">
        <v>279</v>
      </c>
      <c r="B19" s="300"/>
      <c r="C19" s="300"/>
      <c r="D19" s="300"/>
    </row>
    <row r="20" spans="1:4" ht="15.75">
      <c r="A20" s="343"/>
      <c r="B20" s="300"/>
      <c r="C20" s="300"/>
      <c r="D20" s="300"/>
    </row>
    <row r="21" spans="1:4" ht="15.75">
      <c r="A21" s="341" t="s">
        <v>241</v>
      </c>
      <c r="B21" s="306">
        <f>SUM(B16:B20)</f>
        <v>0</v>
      </c>
      <c r="C21" s="306">
        <f>SUM(C16:C20)</f>
        <v>0</v>
      </c>
      <c r="D21" s="306">
        <f>SUM(D16:D20)</f>
        <v>0</v>
      </c>
    </row>
    <row r="22" spans="1:4" ht="15.75">
      <c r="A22" s="247"/>
      <c r="B22" s="205"/>
      <c r="C22" s="205"/>
      <c r="D22" s="205"/>
    </row>
    <row r="23" spans="1:4" ht="15.75">
      <c r="A23" s="343" t="s">
        <v>284</v>
      </c>
      <c r="B23" s="300"/>
      <c r="C23" s="300"/>
      <c r="D23" s="300"/>
    </row>
    <row r="24" spans="1:4" ht="15.75">
      <c r="A24" s="343" t="s">
        <v>277</v>
      </c>
      <c r="B24" s="300"/>
      <c r="C24" s="300"/>
      <c r="D24" s="300"/>
    </row>
    <row r="25" spans="1:4" ht="15.75">
      <c r="A25" s="343" t="s">
        <v>278</v>
      </c>
      <c r="B25" s="300"/>
      <c r="C25" s="300"/>
      <c r="D25" s="300"/>
    </row>
    <row r="26" spans="1:4" ht="15.75">
      <c r="A26" s="343" t="s">
        <v>279</v>
      </c>
      <c r="B26" s="300"/>
      <c r="C26" s="300"/>
      <c r="D26" s="300"/>
    </row>
    <row r="27" spans="1:4" ht="15.75">
      <c r="A27" s="343"/>
      <c r="B27" s="300"/>
      <c r="C27" s="300"/>
      <c r="D27" s="300"/>
    </row>
    <row r="28" spans="1:4" ht="15.75">
      <c r="A28" s="341" t="s">
        <v>241</v>
      </c>
      <c r="B28" s="306">
        <f>SUM(B23:B27)</f>
        <v>0</v>
      </c>
      <c r="C28" s="306">
        <f>SUM(C23:C27)</f>
        <v>0</v>
      </c>
      <c r="D28" s="306">
        <f>SUM(D23:D27)</f>
        <v>0</v>
      </c>
    </row>
    <row r="29" spans="1:4" ht="15.75">
      <c r="A29" s="247"/>
      <c r="B29" s="205"/>
      <c r="C29" s="205"/>
      <c r="D29" s="205"/>
    </row>
    <row r="30" spans="1:4" ht="15.75">
      <c r="A30" s="343" t="s">
        <v>284</v>
      </c>
      <c r="B30" s="300"/>
      <c r="C30" s="300"/>
      <c r="D30" s="300"/>
    </row>
    <row r="31" spans="1:4" ht="15.75">
      <c r="A31" s="343" t="s">
        <v>277</v>
      </c>
      <c r="B31" s="300"/>
      <c r="C31" s="300"/>
      <c r="D31" s="300"/>
    </row>
    <row r="32" spans="1:4" ht="15.75">
      <c r="A32" s="343" t="s">
        <v>278</v>
      </c>
      <c r="B32" s="300"/>
      <c r="C32" s="300"/>
      <c r="D32" s="300"/>
    </row>
    <row r="33" spans="1:4" ht="15.75">
      <c r="A33" s="343" t="s">
        <v>279</v>
      </c>
      <c r="B33" s="300"/>
      <c r="C33" s="300"/>
      <c r="D33" s="300"/>
    </row>
    <row r="34" spans="1:4" ht="15.75">
      <c r="A34" s="341" t="s">
        <v>241</v>
      </c>
      <c r="B34" s="306">
        <f>SUM(B30:B33)</f>
        <v>0</v>
      </c>
      <c r="C34" s="306">
        <f>SUM(C30:C33)</f>
        <v>0</v>
      </c>
      <c r="D34" s="306">
        <f>SUM(D30:D33)</f>
        <v>0</v>
      </c>
    </row>
    <row r="35" spans="1:4" ht="15.75">
      <c r="A35" s="247"/>
      <c r="B35" s="205"/>
      <c r="C35" s="205"/>
      <c r="D35" s="205"/>
    </row>
    <row r="36" spans="1:4" ht="15.75">
      <c r="A36" s="343" t="s">
        <v>284</v>
      </c>
      <c r="B36" s="300"/>
      <c r="C36" s="300"/>
      <c r="D36" s="300"/>
    </row>
    <row r="37" spans="1:4" ht="15.75">
      <c r="A37" s="343" t="s">
        <v>277</v>
      </c>
      <c r="B37" s="300"/>
      <c r="C37" s="300"/>
      <c r="D37" s="300"/>
    </row>
    <row r="38" spans="1:4" ht="15.75">
      <c r="A38" s="343" t="s">
        <v>278</v>
      </c>
      <c r="B38" s="300"/>
      <c r="C38" s="300"/>
      <c r="D38" s="300"/>
    </row>
    <row r="39" spans="1:4" ht="15.75">
      <c r="A39" s="343" t="s">
        <v>279</v>
      </c>
      <c r="B39" s="300"/>
      <c r="C39" s="300"/>
      <c r="D39" s="300"/>
    </row>
    <row r="40" spans="1:4" ht="15.75">
      <c r="A40" s="343"/>
      <c r="B40" s="300"/>
      <c r="C40" s="300"/>
      <c r="D40" s="300"/>
    </row>
    <row r="41" spans="1:4" ht="15.75">
      <c r="A41" s="341" t="s">
        <v>241</v>
      </c>
      <c r="B41" s="306">
        <f>SUM(B36:B40)</f>
        <v>0</v>
      </c>
      <c r="C41" s="306">
        <f>SUM(C36:C40)</f>
        <v>0</v>
      </c>
      <c r="D41" s="306">
        <f>SUM(D36:D40)</f>
        <v>0</v>
      </c>
    </row>
    <row r="42" spans="1:4" ht="15.75">
      <c r="A42" s="247"/>
      <c r="B42" s="205"/>
      <c r="C42" s="205"/>
      <c r="D42" s="205"/>
    </row>
    <row r="43" spans="1:4" ht="15.75">
      <c r="A43" s="343" t="s">
        <v>284</v>
      </c>
      <c r="B43" s="300"/>
      <c r="C43" s="300"/>
      <c r="D43" s="300"/>
    </row>
    <row r="44" spans="1:4" ht="15.75">
      <c r="A44" s="343" t="s">
        <v>277</v>
      </c>
      <c r="B44" s="300"/>
      <c r="C44" s="300"/>
      <c r="D44" s="300"/>
    </row>
    <row r="45" spans="1:4" ht="15.75">
      <c r="A45" s="343" t="s">
        <v>278</v>
      </c>
      <c r="B45" s="300"/>
      <c r="C45" s="300"/>
      <c r="D45" s="300"/>
    </row>
    <row r="46" spans="1:4" ht="15.75">
      <c r="A46" s="343" t="s">
        <v>279</v>
      </c>
      <c r="B46" s="300"/>
      <c r="C46" s="300"/>
      <c r="D46" s="300"/>
    </row>
    <row r="47" spans="1:4" ht="15.75">
      <c r="A47" s="343"/>
      <c r="B47" s="300"/>
      <c r="C47" s="300"/>
      <c r="D47" s="300"/>
    </row>
    <row r="48" spans="1:4" ht="15.75">
      <c r="A48" s="341" t="s">
        <v>241</v>
      </c>
      <c r="B48" s="306">
        <f>SUM(B43:B47)</f>
        <v>0</v>
      </c>
      <c r="C48" s="306">
        <f>SUM(C43:C47)</f>
        <v>0</v>
      </c>
      <c r="D48" s="306">
        <f>SUM(D43:D47)</f>
        <v>0</v>
      </c>
    </row>
    <row r="49" spans="1:4" ht="15.75">
      <c r="A49" s="247"/>
      <c r="B49" s="205"/>
      <c r="C49" s="205"/>
      <c r="D49" s="205"/>
    </row>
    <row r="50" spans="1:4" ht="15.75">
      <c r="A50" s="343" t="s">
        <v>284</v>
      </c>
      <c r="B50" s="300"/>
      <c r="C50" s="300"/>
      <c r="D50" s="300"/>
    </row>
    <row r="51" spans="1:4" ht="15.75">
      <c r="A51" s="343" t="s">
        <v>277</v>
      </c>
      <c r="B51" s="300"/>
      <c r="C51" s="300"/>
      <c r="D51" s="300"/>
    </row>
    <row r="52" spans="1:4" ht="15.75">
      <c r="A52" s="343" t="s">
        <v>278</v>
      </c>
      <c r="B52" s="300"/>
      <c r="C52" s="300"/>
      <c r="D52" s="300"/>
    </row>
    <row r="53" spans="1:4" ht="15.75">
      <c r="A53" s="343" t="s">
        <v>279</v>
      </c>
      <c r="B53" s="300"/>
      <c r="C53" s="300"/>
      <c r="D53" s="300"/>
    </row>
    <row r="54" spans="1:4" ht="15.75">
      <c r="A54" s="343"/>
      <c r="B54" s="300"/>
      <c r="C54" s="300"/>
      <c r="D54" s="300"/>
    </row>
    <row r="55" spans="1:4" ht="15.75">
      <c r="A55" s="341" t="s">
        <v>241</v>
      </c>
      <c r="B55" s="306">
        <f>SUM(B50:B54)</f>
        <v>0</v>
      </c>
      <c r="C55" s="306">
        <f>SUM(C50:C54)</f>
        <v>0</v>
      </c>
      <c r="D55" s="306">
        <f>SUM(D50:D54)</f>
        <v>0</v>
      </c>
    </row>
    <row r="56" spans="1:4" ht="15.75">
      <c r="A56" s="247"/>
      <c r="B56" s="205"/>
      <c r="C56" s="205"/>
      <c r="D56" s="205"/>
    </row>
    <row r="57" spans="1:4" ht="15.75">
      <c r="A57" s="343" t="s">
        <v>284</v>
      </c>
      <c r="B57" s="300"/>
      <c r="C57" s="300"/>
      <c r="D57" s="300"/>
    </row>
    <row r="58" spans="1:4" ht="15.75">
      <c r="A58" s="343" t="s">
        <v>277</v>
      </c>
      <c r="B58" s="300"/>
      <c r="C58" s="300"/>
      <c r="D58" s="300"/>
    </row>
    <row r="59" spans="1:4" ht="15.75">
      <c r="A59" s="343" t="s">
        <v>278</v>
      </c>
      <c r="B59" s="300"/>
      <c r="C59" s="300"/>
      <c r="D59" s="300"/>
    </row>
    <row r="60" spans="1:4" ht="15.75">
      <c r="A60" s="343" t="s">
        <v>279</v>
      </c>
      <c r="B60" s="300"/>
      <c r="C60" s="300"/>
      <c r="D60" s="300"/>
    </row>
    <row r="61" spans="1:4" ht="15.75">
      <c r="A61" s="343"/>
      <c r="B61" s="300"/>
      <c r="C61" s="300"/>
      <c r="D61" s="300"/>
    </row>
    <row r="62" spans="1:4" ht="15.75">
      <c r="A62" s="341" t="s">
        <v>241</v>
      </c>
      <c r="B62" s="306">
        <f>SUM(B57:B61)</f>
        <v>0</v>
      </c>
      <c r="C62" s="306">
        <f>SUM(C57:C61)</f>
        <v>0</v>
      </c>
      <c r="D62" s="306">
        <f>SUM(D57:D61)</f>
        <v>0</v>
      </c>
    </row>
    <row r="63" spans="1:4" ht="15.75">
      <c r="A63" s="81"/>
      <c r="B63" s="205"/>
      <c r="C63" s="205"/>
      <c r="D63" s="205"/>
    </row>
    <row r="64" spans="1:4" ht="16.5" thickBot="1">
      <c r="A64" s="341" t="s">
        <v>285</v>
      </c>
      <c r="B64" s="344">
        <f>B14+B21+B28+B34+B41+B48+B55+B62</f>
        <v>0</v>
      </c>
      <c r="C64" s="344">
        <f>C14+C21+C28+C34+C41+C48+C55+C62</f>
        <v>0</v>
      </c>
      <c r="D64" s="344">
        <f>D14+D21+D28+D34+D41+D48+D55+D62</f>
        <v>0</v>
      </c>
    </row>
    <row r="65" spans="1:4" ht="16.5" thickTop="1">
      <c r="A65" s="345"/>
      <c r="B65" s="205"/>
      <c r="C65" s="205"/>
      <c r="D65" s="205"/>
    </row>
    <row r="66" spans="1:4" ht="15.75">
      <c r="A66" s="161" t="s">
        <v>283</v>
      </c>
      <c r="B66" s="347" t="str">
        <f>CONCATENATE("",general!D62,"b")</f>
        <v>7b</v>
      </c>
      <c r="C66" s="205"/>
      <c r="D66" s="205"/>
    </row>
    <row r="67" spans="1:4" ht="15.75">
      <c r="A67" s="346"/>
      <c r="B67" s="347"/>
      <c r="C67" s="347"/>
      <c r="D67" s="347"/>
    </row>
    <row r="68" spans="1:4" ht="15.75">
      <c r="A68" s="347">
        <f>A1</f>
        <v>0</v>
      </c>
      <c r="B68" s="346"/>
      <c r="C68" s="348"/>
      <c r="D68" s="346">
        <f>D1</f>
        <v>0</v>
      </c>
    </row>
    <row r="69" spans="1:4" ht="15.75">
      <c r="A69" s="346"/>
      <c r="B69" s="346"/>
      <c r="C69" s="346"/>
      <c r="D69" s="348"/>
    </row>
    <row r="70" spans="1:4" ht="15.75">
      <c r="A70" s="576" t="s">
        <v>264</v>
      </c>
      <c r="B70" s="537" t="str">
        <f aca="true" t="shared" si="0" ref="B70:D71">B3</f>
        <v>Prior Year </v>
      </c>
      <c r="C70" s="537" t="str">
        <f t="shared" si="0"/>
        <v>Current Year</v>
      </c>
      <c r="D70" s="537" t="str">
        <f t="shared" si="0"/>
        <v>Proposed Budget </v>
      </c>
    </row>
    <row r="71" spans="1:4" ht="15.75">
      <c r="A71" s="577" t="s">
        <v>376</v>
      </c>
      <c r="B71" s="578" t="str">
        <f t="shared" si="0"/>
        <v>Actual for -2</v>
      </c>
      <c r="C71" s="578" t="str">
        <f t="shared" si="0"/>
        <v>Estimate for -1</v>
      </c>
      <c r="D71" s="578" t="str">
        <f t="shared" si="0"/>
        <v>Year for 0</v>
      </c>
    </row>
    <row r="72" spans="1:4" ht="15.75">
      <c r="A72" s="349" t="s">
        <v>276</v>
      </c>
      <c r="B72" s="350"/>
      <c r="C72" s="350"/>
      <c r="D72" s="350"/>
    </row>
    <row r="73" spans="1:6" ht="15.75">
      <c r="A73" s="351"/>
      <c r="B73" s="350"/>
      <c r="C73" s="350"/>
      <c r="D73" s="350"/>
      <c r="F73" s="575"/>
    </row>
    <row r="74" spans="1:4" ht="15.75">
      <c r="A74" s="351" t="s">
        <v>284</v>
      </c>
      <c r="B74" s="352"/>
      <c r="C74" s="352"/>
      <c r="D74" s="352"/>
    </row>
    <row r="75" spans="1:4" ht="15.75">
      <c r="A75" s="351" t="s">
        <v>277</v>
      </c>
      <c r="B75" s="352"/>
      <c r="C75" s="352"/>
      <c r="D75" s="352"/>
    </row>
    <row r="76" spans="1:4" ht="15.75">
      <c r="A76" s="351" t="s">
        <v>278</v>
      </c>
      <c r="B76" s="352"/>
      <c r="C76" s="352"/>
      <c r="D76" s="352"/>
    </row>
    <row r="77" spans="1:4" ht="15.75">
      <c r="A77" s="351" t="s">
        <v>279</v>
      </c>
      <c r="B77" s="352"/>
      <c r="C77" s="352"/>
      <c r="D77" s="352"/>
    </row>
    <row r="78" spans="1:4" ht="15.75">
      <c r="A78" s="353"/>
      <c r="B78" s="352"/>
      <c r="C78" s="352"/>
      <c r="D78" s="352"/>
    </row>
    <row r="79" spans="1:4" ht="15.75">
      <c r="A79" s="349" t="s">
        <v>241</v>
      </c>
      <c r="B79" s="354">
        <f>SUM(B74:B78)</f>
        <v>0</v>
      </c>
      <c r="C79" s="354">
        <f>SUM(C74:C78)</f>
        <v>0</v>
      </c>
      <c r="D79" s="354">
        <f>SUM(D74:D78)</f>
        <v>0</v>
      </c>
    </row>
    <row r="80" spans="1:4" ht="15.75">
      <c r="A80" s="355"/>
      <c r="B80" s="347"/>
      <c r="C80" s="347"/>
      <c r="D80" s="347"/>
    </row>
    <row r="81" spans="1:4" ht="15.75">
      <c r="A81" s="351" t="s">
        <v>284</v>
      </c>
      <c r="B81" s="352"/>
      <c r="C81" s="352"/>
      <c r="D81" s="352"/>
    </row>
    <row r="82" spans="1:4" ht="15.75">
      <c r="A82" s="351" t="s">
        <v>277</v>
      </c>
      <c r="B82" s="352"/>
      <c r="C82" s="352"/>
      <c r="D82" s="352"/>
    </row>
    <row r="83" spans="1:4" ht="15.75">
      <c r="A83" s="351" t="s">
        <v>278</v>
      </c>
      <c r="B83" s="352"/>
      <c r="C83" s="352"/>
      <c r="D83" s="352"/>
    </row>
    <row r="84" spans="1:4" ht="15.75">
      <c r="A84" s="351" t="s">
        <v>279</v>
      </c>
      <c r="B84" s="352"/>
      <c r="C84" s="352"/>
      <c r="D84" s="352"/>
    </row>
    <row r="85" spans="1:4" ht="15.75">
      <c r="A85" s="351"/>
      <c r="B85" s="352"/>
      <c r="C85" s="352"/>
      <c r="D85" s="352"/>
    </row>
    <row r="86" spans="1:4" ht="15.75">
      <c r="A86" s="349" t="s">
        <v>241</v>
      </c>
      <c r="B86" s="354">
        <f>SUM(B81:B85)</f>
        <v>0</v>
      </c>
      <c r="C86" s="354">
        <f>SUM(C81:C85)</f>
        <v>0</v>
      </c>
      <c r="D86" s="354">
        <f>SUM(D81:D85)</f>
        <v>0</v>
      </c>
    </row>
    <row r="87" spans="1:4" ht="15.75">
      <c r="A87" s="355"/>
      <c r="B87" s="347"/>
      <c r="C87" s="347"/>
      <c r="D87" s="347"/>
    </row>
    <row r="88" spans="1:4" ht="15.75">
      <c r="A88" s="351" t="s">
        <v>284</v>
      </c>
      <c r="B88" s="352"/>
      <c r="C88" s="352"/>
      <c r="D88" s="352"/>
    </row>
    <row r="89" spans="1:4" ht="15.75">
      <c r="A89" s="351" t="s">
        <v>277</v>
      </c>
      <c r="B89" s="352"/>
      <c r="C89" s="352"/>
      <c r="D89" s="352"/>
    </row>
    <row r="90" spans="1:4" ht="15.75">
      <c r="A90" s="351" t="s">
        <v>278</v>
      </c>
      <c r="B90" s="352"/>
      <c r="C90" s="352"/>
      <c r="D90" s="352"/>
    </row>
    <row r="91" spans="1:4" ht="15.75">
      <c r="A91" s="351" t="s">
        <v>279</v>
      </c>
      <c r="B91" s="352"/>
      <c r="C91" s="352"/>
      <c r="D91" s="352"/>
    </row>
    <row r="92" spans="1:4" ht="15.75">
      <c r="A92" s="351"/>
      <c r="B92" s="352"/>
      <c r="C92" s="352"/>
      <c r="D92" s="352"/>
    </row>
    <row r="93" spans="1:4" ht="15.75">
      <c r="A93" s="349" t="s">
        <v>241</v>
      </c>
      <c r="B93" s="354">
        <f>SUM(B88:B92)</f>
        <v>0</v>
      </c>
      <c r="C93" s="354">
        <f>SUM(C88:C92)</f>
        <v>0</v>
      </c>
      <c r="D93" s="354">
        <f>SUM(D88:D92)</f>
        <v>0</v>
      </c>
    </row>
    <row r="94" spans="1:4" ht="15.75">
      <c r="A94" s="355"/>
      <c r="B94" s="347"/>
      <c r="C94" s="347"/>
      <c r="D94" s="347"/>
    </row>
    <row r="95" spans="1:4" ht="15.75">
      <c r="A95" s="351" t="s">
        <v>284</v>
      </c>
      <c r="B95" s="352"/>
      <c r="C95" s="352"/>
      <c r="D95" s="352"/>
    </row>
    <row r="96" spans="1:4" ht="15.75">
      <c r="A96" s="351" t="s">
        <v>277</v>
      </c>
      <c r="B96" s="352"/>
      <c r="C96" s="352"/>
      <c r="D96" s="352"/>
    </row>
    <row r="97" spans="1:4" ht="15.75">
      <c r="A97" s="351" t="s">
        <v>278</v>
      </c>
      <c r="B97" s="352"/>
      <c r="C97" s="352"/>
      <c r="D97" s="352"/>
    </row>
    <row r="98" spans="1:4" ht="15.75">
      <c r="A98" s="351" t="s">
        <v>279</v>
      </c>
      <c r="B98" s="352"/>
      <c r="C98" s="352"/>
      <c r="D98" s="352"/>
    </row>
    <row r="99" spans="1:4" ht="15.75">
      <c r="A99" s="349" t="s">
        <v>241</v>
      </c>
      <c r="B99" s="354">
        <f>SUM(B95:B98)</f>
        <v>0</v>
      </c>
      <c r="C99" s="354">
        <f>SUM(C95:C98)</f>
        <v>0</v>
      </c>
      <c r="D99" s="354">
        <f>SUM(D95:D98)</f>
        <v>0</v>
      </c>
    </row>
    <row r="100" spans="1:4" ht="15.75">
      <c r="A100" s="355"/>
      <c r="B100" s="347"/>
      <c r="C100" s="347"/>
      <c r="D100" s="347"/>
    </row>
    <row r="101" spans="1:4" ht="15.75">
      <c r="A101" s="351" t="s">
        <v>284</v>
      </c>
      <c r="B101" s="352"/>
      <c r="C101" s="352"/>
      <c r="D101" s="352"/>
    </row>
    <row r="102" spans="1:4" ht="15.75">
      <c r="A102" s="351" t="s">
        <v>277</v>
      </c>
      <c r="B102" s="352"/>
      <c r="C102" s="352"/>
      <c r="D102" s="352"/>
    </row>
    <row r="103" spans="1:4" ht="15.75">
      <c r="A103" s="351" t="s">
        <v>278</v>
      </c>
      <c r="B103" s="352"/>
      <c r="C103" s="352"/>
      <c r="D103" s="352"/>
    </row>
    <row r="104" spans="1:4" ht="15.75">
      <c r="A104" s="351" t="s">
        <v>279</v>
      </c>
      <c r="B104" s="352"/>
      <c r="C104" s="352"/>
      <c r="D104" s="352"/>
    </row>
    <row r="105" spans="1:4" ht="15.75">
      <c r="A105" s="351"/>
      <c r="B105" s="352"/>
      <c r="C105" s="352"/>
      <c r="D105" s="352"/>
    </row>
    <row r="106" spans="1:4" ht="15.75">
      <c r="A106" s="349" t="s">
        <v>241</v>
      </c>
      <c r="B106" s="354">
        <f>SUM(B101:B105)</f>
        <v>0</v>
      </c>
      <c r="C106" s="354">
        <f>SUM(C101:C105)</f>
        <v>0</v>
      </c>
      <c r="D106" s="354">
        <f>SUM(D101:D105)</f>
        <v>0</v>
      </c>
    </row>
    <row r="107" spans="1:4" ht="15.75">
      <c r="A107" s="355"/>
      <c r="B107" s="347"/>
      <c r="C107" s="347"/>
      <c r="D107" s="347"/>
    </row>
    <row r="108" spans="1:4" ht="15.75">
      <c r="A108" s="351" t="s">
        <v>284</v>
      </c>
      <c r="B108" s="352"/>
      <c r="C108" s="352"/>
      <c r="D108" s="352"/>
    </row>
    <row r="109" spans="1:4" ht="15.75">
      <c r="A109" s="351" t="s">
        <v>277</v>
      </c>
      <c r="B109" s="352"/>
      <c r="C109" s="352"/>
      <c r="D109" s="352"/>
    </row>
    <row r="110" spans="1:4" ht="15.75">
      <c r="A110" s="351" t="s">
        <v>278</v>
      </c>
      <c r="B110" s="352"/>
      <c r="C110" s="352"/>
      <c r="D110" s="352"/>
    </row>
    <row r="111" spans="1:4" ht="15.75">
      <c r="A111" s="351" t="s">
        <v>279</v>
      </c>
      <c r="B111" s="352"/>
      <c r="C111" s="352"/>
      <c r="D111" s="352"/>
    </row>
    <row r="112" spans="1:4" ht="15.75">
      <c r="A112" s="351"/>
      <c r="B112" s="352"/>
      <c r="C112" s="352"/>
      <c r="D112" s="352"/>
    </row>
    <row r="113" spans="1:4" ht="15.75">
      <c r="A113" s="349" t="s">
        <v>241</v>
      </c>
      <c r="B113" s="354">
        <f>SUM(B108:B112)</f>
        <v>0</v>
      </c>
      <c r="C113" s="354">
        <f>SUM(C108:C112)</f>
        <v>0</v>
      </c>
      <c r="D113" s="354">
        <f>SUM(D108:D112)</f>
        <v>0</v>
      </c>
    </row>
    <row r="114" spans="1:4" ht="15.75">
      <c r="A114" s="355"/>
      <c r="B114" s="347"/>
      <c r="C114" s="347"/>
      <c r="D114" s="347"/>
    </row>
    <row r="115" spans="1:4" ht="15.75">
      <c r="A115" s="351" t="s">
        <v>284</v>
      </c>
      <c r="B115" s="352"/>
      <c r="C115" s="352"/>
      <c r="D115" s="352"/>
    </row>
    <row r="116" spans="1:4" ht="15.75">
      <c r="A116" s="351" t="s">
        <v>277</v>
      </c>
      <c r="B116" s="352"/>
      <c r="C116" s="352"/>
      <c r="D116" s="352"/>
    </row>
    <row r="117" spans="1:4" ht="15.75">
      <c r="A117" s="351" t="s">
        <v>278</v>
      </c>
      <c r="B117" s="352"/>
      <c r="C117" s="352"/>
      <c r="D117" s="352"/>
    </row>
    <row r="118" spans="1:4" ht="15.75">
      <c r="A118" s="351" t="s">
        <v>279</v>
      </c>
      <c r="B118" s="352"/>
      <c r="C118" s="352"/>
      <c r="D118" s="352"/>
    </row>
    <row r="119" spans="1:4" ht="15.75">
      <c r="A119" s="351"/>
      <c r="B119" s="352"/>
      <c r="C119" s="352"/>
      <c r="D119" s="352"/>
    </row>
    <row r="120" spans="1:4" ht="15.75">
      <c r="A120" s="349" t="s">
        <v>241</v>
      </c>
      <c r="B120" s="354">
        <f>SUM(B115:B119)</f>
        <v>0</v>
      </c>
      <c r="C120" s="354">
        <f>SUM(C115:C119)</f>
        <v>0</v>
      </c>
      <c r="D120" s="354">
        <f>SUM(D115:D119)</f>
        <v>0</v>
      </c>
    </row>
    <row r="121" spans="1:4" ht="15.75">
      <c r="A121" s="355"/>
      <c r="B121" s="347"/>
      <c r="C121" s="347"/>
      <c r="D121" s="347"/>
    </row>
    <row r="122" spans="1:4" ht="15.75">
      <c r="A122" s="351" t="s">
        <v>284</v>
      </c>
      <c r="B122" s="352"/>
      <c r="C122" s="352"/>
      <c r="D122" s="352"/>
    </row>
    <row r="123" spans="1:4" ht="15.75">
      <c r="A123" s="351" t="s">
        <v>277</v>
      </c>
      <c r="B123" s="352"/>
      <c r="C123" s="352"/>
      <c r="D123" s="352"/>
    </row>
    <row r="124" spans="1:4" ht="15.75">
      <c r="A124" s="351" t="s">
        <v>278</v>
      </c>
      <c r="B124" s="352"/>
      <c r="C124" s="352"/>
      <c r="D124" s="352"/>
    </row>
    <row r="125" spans="1:4" ht="15.75">
      <c r="A125" s="351" t="s">
        <v>279</v>
      </c>
      <c r="B125" s="352"/>
      <c r="C125" s="352"/>
      <c r="D125" s="352"/>
    </row>
    <row r="126" spans="1:4" ht="15.75">
      <c r="A126" s="351"/>
      <c r="B126" s="352"/>
      <c r="C126" s="352"/>
      <c r="D126" s="352"/>
    </row>
    <row r="127" spans="1:4" ht="15.75">
      <c r="A127" s="349" t="s">
        <v>241</v>
      </c>
      <c r="B127" s="354">
        <f>SUM(B122:B126)</f>
        <v>0</v>
      </c>
      <c r="C127" s="354">
        <f>SUM(C122:C126)</f>
        <v>0</v>
      </c>
      <c r="D127" s="354">
        <f>SUM(D122:D126)</f>
        <v>0</v>
      </c>
    </row>
    <row r="128" spans="1:4" ht="15.75">
      <c r="A128" s="349"/>
      <c r="B128" s="347"/>
      <c r="C128" s="347"/>
      <c r="D128" s="347"/>
    </row>
    <row r="129" spans="1:4" ht="15.75">
      <c r="A129" s="356" t="s">
        <v>377</v>
      </c>
      <c r="B129" s="357">
        <f>B79+B86+B93+B99+B106+B113+B120+B127</f>
        <v>0</v>
      </c>
      <c r="C129" s="357">
        <f>C79+C86+C93+C99+C106+C113+C120+C127</f>
        <v>0</v>
      </c>
      <c r="D129" s="357">
        <f>D79+D86+D93+D99+D106+D113+D120+D127</f>
        <v>0</v>
      </c>
    </row>
    <row r="130" spans="1:4" ht="15.75">
      <c r="A130" s="349" t="s">
        <v>378</v>
      </c>
      <c r="B130" s="354">
        <f>B64</f>
        <v>0</v>
      </c>
      <c r="C130" s="354">
        <f>C64</f>
        <v>0</v>
      </c>
      <c r="D130" s="354">
        <f>D64</f>
        <v>0</v>
      </c>
    </row>
    <row r="131" spans="1:4" ht="16.5" thickBot="1">
      <c r="A131" s="349" t="s">
        <v>379</v>
      </c>
      <c r="B131" s="359">
        <f>SUM(B129:B130)</f>
        <v>0</v>
      </c>
      <c r="C131" s="359">
        <f>SUM(C129:C130)</f>
        <v>0</v>
      </c>
      <c r="D131" s="359">
        <f>SUM(D129:D130)</f>
        <v>0</v>
      </c>
    </row>
    <row r="132" spans="1:4" ht="16.5" thickTop="1">
      <c r="A132" s="358" t="s">
        <v>201</v>
      </c>
      <c r="B132" s="347"/>
      <c r="C132" s="347"/>
      <c r="D132" s="347"/>
    </row>
    <row r="133" spans="1:4" ht="15.75">
      <c r="A133" s="161" t="s">
        <v>283</v>
      </c>
      <c r="B133" s="347" t="str">
        <f>CONCATENATE("",general!D62,"c")</f>
        <v>7c</v>
      </c>
      <c r="C133" s="347"/>
      <c r="D133" s="347"/>
    </row>
  </sheetData>
  <sheetProtection sheet="1"/>
  <printOptions/>
  <pageMargins left="0.5" right="0.5" top="1" bottom="0.5" header="0.5" footer="0.5"/>
  <pageSetup blackAndWhite="1" fitToHeight="2" horizontalDpi="300" verticalDpi="300" orientation="portrait" scale="64" r:id="rId1"/>
  <headerFooter alignWithMargins="0">
    <oddHeader>&amp;RState of Kansas
City</oddHeader>
  </headerFooter>
  <rowBreaks count="1" manualBreakCount="1">
    <brk id="66"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44" sqref="Q144"/>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8.09765625" style="77" customWidth="1"/>
    <col min="7" max="7" width="10.19921875" style="77" customWidth="1"/>
    <col min="8" max="8" width="8.8984375" style="77" customWidth="1"/>
    <col min="9" max="9" width="5.69921875" style="77" customWidth="1"/>
    <col min="10" max="10" width="10" style="77" customWidth="1"/>
    <col min="11" max="16384" width="8.8984375" style="77" customWidth="1"/>
  </cols>
  <sheetData>
    <row r="1" spans="2:5" ht="15.75">
      <c r="B1" s="205">
        <f>inputPrYr!D3</f>
        <v>0</v>
      </c>
      <c r="C1" s="81"/>
      <c r="D1" s="81"/>
      <c r="E1" s="292">
        <f>inputPrYr!$C$10</f>
        <v>0</v>
      </c>
    </row>
    <row r="2" spans="2:5" ht="15.75">
      <c r="B2" s="81"/>
      <c r="C2" s="81"/>
      <c r="D2" s="81"/>
      <c r="E2" s="191"/>
    </row>
    <row r="3" spans="2:5" ht="15.75">
      <c r="B3" s="456" t="s">
        <v>6</v>
      </c>
      <c r="C3" s="211"/>
      <c r="D3" s="211"/>
      <c r="E3" s="323"/>
    </row>
    <row r="4" spans="2:5" ht="15.75">
      <c r="B4" s="84" t="s">
        <v>264</v>
      </c>
      <c r="C4" s="573" t="s">
        <v>781</v>
      </c>
      <c r="D4" s="574" t="s">
        <v>782</v>
      </c>
      <c r="E4" s="168" t="s">
        <v>783</v>
      </c>
    </row>
    <row r="5" spans="2:5" ht="15.75">
      <c r="B5" s="520" t="str">
        <f>inputPrYr!B23</f>
        <v>Debt Service</v>
      </c>
      <c r="C5" s="399" t="str">
        <f>CONCATENATE("Actual for ",E1-2,"")</f>
        <v>Actual for -2</v>
      </c>
      <c r="D5" s="399" t="str">
        <f>CONCATENATE("Estimate for ",E1-1,"")</f>
        <v>Estimate for -1</v>
      </c>
      <c r="E5" s="218" t="str">
        <f>CONCATENATE("Year for ",E1,"")</f>
        <v>Year for 0</v>
      </c>
    </row>
    <row r="6" spans="2:5" ht="15.75">
      <c r="B6" s="137" t="s">
        <v>47</v>
      </c>
      <c r="C6" s="398"/>
      <c r="D6" s="455">
        <f>C36</f>
        <v>0</v>
      </c>
      <c r="E6" s="324">
        <f>D36</f>
        <v>0</v>
      </c>
    </row>
    <row r="7" spans="2:5" ht="15.75">
      <c r="B7" s="298" t="s">
        <v>49</v>
      </c>
      <c r="C7" s="400"/>
      <c r="D7" s="455"/>
      <c r="E7" s="324"/>
    </row>
    <row r="8" spans="2:5" ht="15.75">
      <c r="B8" s="137" t="s">
        <v>265</v>
      </c>
      <c r="C8" s="398"/>
      <c r="D8" s="400">
        <f>IF(inputPrYr!H21&gt;0,inputPrYr!G23,inputPrYr!E23)</f>
        <v>0</v>
      </c>
      <c r="E8" s="318" t="s">
        <v>254</v>
      </c>
    </row>
    <row r="9" spans="2:5" ht="15.75">
      <c r="B9" s="137" t="s">
        <v>266</v>
      </c>
      <c r="C9" s="398"/>
      <c r="D9" s="398"/>
      <c r="E9" s="325"/>
    </row>
    <row r="10" spans="2:5" ht="15.75">
      <c r="B10" s="137" t="s">
        <v>267</v>
      </c>
      <c r="C10" s="398"/>
      <c r="D10" s="398"/>
      <c r="E10" s="326" t="str">
        <f>mvalloc!D9</f>
        <v>  </v>
      </c>
    </row>
    <row r="11" spans="2:5" ht="15.75">
      <c r="B11" s="137" t="s">
        <v>268</v>
      </c>
      <c r="C11" s="398"/>
      <c r="D11" s="398"/>
      <c r="E11" s="326" t="str">
        <f>mvalloc!E9</f>
        <v> </v>
      </c>
    </row>
    <row r="12" spans="2:5" ht="15.75">
      <c r="B12" s="327" t="s">
        <v>37</v>
      </c>
      <c r="C12" s="398"/>
      <c r="D12" s="398"/>
      <c r="E12" s="326" t="str">
        <f>mvalloc!F9</f>
        <v> </v>
      </c>
    </row>
    <row r="13" spans="2:5" ht="15.75">
      <c r="B13" s="866" t="s">
        <v>1023</v>
      </c>
      <c r="C13" s="398"/>
      <c r="D13" s="398"/>
      <c r="E13" s="326" t="str">
        <f>mvalloc!G9</f>
        <v> </v>
      </c>
    </row>
    <row r="14" spans="2:5" ht="15.75">
      <c r="B14" s="866" t="s">
        <v>1024</v>
      </c>
      <c r="C14" s="398"/>
      <c r="D14" s="398"/>
      <c r="E14" s="326" t="str">
        <f>mvalloc!H9</f>
        <v> </v>
      </c>
    </row>
    <row r="15" spans="2:5" ht="15.75">
      <c r="B15" s="325"/>
      <c r="C15" s="398"/>
      <c r="D15" s="398"/>
      <c r="E15" s="325"/>
    </row>
    <row r="16" spans="2:5" ht="15.75">
      <c r="B16" s="325"/>
      <c r="C16" s="398"/>
      <c r="D16" s="398"/>
      <c r="E16" s="325"/>
    </row>
    <row r="17" spans="2:5" ht="15.75">
      <c r="B17" s="328"/>
      <c r="C17" s="398"/>
      <c r="D17" s="398"/>
      <c r="E17" s="325"/>
    </row>
    <row r="18" spans="2:5" ht="15.75">
      <c r="B18" s="328"/>
      <c r="C18" s="398"/>
      <c r="D18" s="398"/>
      <c r="E18" s="325"/>
    </row>
    <row r="19" spans="2:10" ht="15.75">
      <c r="B19" s="329" t="s">
        <v>272</v>
      </c>
      <c r="C19" s="398"/>
      <c r="D19" s="398"/>
      <c r="E19" s="325"/>
      <c r="G19" s="996" t="str">
        <f>CONCATENATE("Desired Carryover Into ",E1+1,"")</f>
        <v>Desired Carryover Into 1</v>
      </c>
      <c r="H19" s="991"/>
      <c r="I19" s="991"/>
      <c r="J19" s="992"/>
    </row>
    <row r="20" spans="2:10" ht="15.75">
      <c r="B20" s="303" t="s">
        <v>162</v>
      </c>
      <c r="C20" s="398"/>
      <c r="D20" s="398"/>
      <c r="E20" s="333">
        <f>nhood!E7*-1</f>
        <v>0</v>
      </c>
      <c r="G20" s="678"/>
      <c r="H20" s="450"/>
      <c r="I20" s="679"/>
      <c r="J20" s="680"/>
    </row>
    <row r="21" spans="2:10" ht="15.75">
      <c r="B21" s="303" t="s">
        <v>163</v>
      </c>
      <c r="C21" s="398"/>
      <c r="D21" s="398"/>
      <c r="E21" s="325"/>
      <c r="G21" s="681" t="s">
        <v>652</v>
      </c>
      <c r="H21" s="679"/>
      <c r="I21" s="679"/>
      <c r="J21" s="682">
        <v>0</v>
      </c>
    </row>
    <row r="22" spans="2:10" ht="15.75">
      <c r="B22" s="303" t="s">
        <v>645</v>
      </c>
      <c r="C22" s="392">
        <f>IF(C23*0.1&lt;C21,"Exceed 10% Rule","")</f>
      </c>
      <c r="D22" s="392">
        <f>IF(D23*0.1&lt;D21,"Exceed 10% Rule","")</f>
      </c>
      <c r="E22" s="330">
        <f>IF(E23*0.1+E42&lt;E21,"Exceed 10% Rule","")</f>
      </c>
      <c r="G22" s="678" t="s">
        <v>653</v>
      </c>
      <c r="H22" s="450"/>
      <c r="I22" s="450"/>
      <c r="J22" s="683">
        <f>IF(J21=0,"",ROUND((J21+E42-G34)/inputOth!B14*1000,3)-G39)</f>
      </c>
    </row>
    <row r="23" spans="2:10" ht="15.75">
      <c r="B23" s="305" t="s">
        <v>273</v>
      </c>
      <c r="C23" s="401">
        <f>SUM(C8:C21)</f>
        <v>0</v>
      </c>
      <c r="D23" s="402">
        <f>SUM(D8:D21)</f>
        <v>0</v>
      </c>
      <c r="E23" s="331">
        <f>SUM(E8:E21)</f>
        <v>0</v>
      </c>
      <c r="G23" s="684" t="str">
        <f>CONCATENATE("",E1," Tot Exp/Non-Appr Must Be:")</f>
        <v>0 Tot Exp/Non-Appr Must Be:</v>
      </c>
      <c r="H23" s="685"/>
      <c r="I23" s="686"/>
      <c r="J23" s="687">
        <f>IF(J21&gt;0,IF(E39&lt;E24,IF(J21=G34,E39,((J21-G34)*(1-D41))+E24),E39+(J21-G34)),0)</f>
        <v>0</v>
      </c>
    </row>
    <row r="24" spans="2:10" ht="15.75">
      <c r="B24" s="305" t="s">
        <v>274</v>
      </c>
      <c r="C24" s="402">
        <f>C6+C23</f>
        <v>0</v>
      </c>
      <c r="D24" s="402">
        <f>D6+D23</f>
        <v>0</v>
      </c>
      <c r="E24" s="332">
        <f>E6+E23</f>
        <v>0</v>
      </c>
      <c r="G24" s="651" t="s">
        <v>866</v>
      </c>
      <c r="H24" s="688"/>
      <c r="I24" s="688"/>
      <c r="J24" s="653">
        <f>IF(J21&gt;0,J23-E39,0)</f>
        <v>0</v>
      </c>
    </row>
    <row r="25" spans="2:5" ht="15.75">
      <c r="B25" s="298" t="s">
        <v>276</v>
      </c>
      <c r="C25" s="400"/>
      <c r="D25" s="400"/>
      <c r="E25" s="326"/>
    </row>
    <row r="26" spans="2:10" ht="15.75">
      <c r="B26" s="299"/>
      <c r="C26" s="398"/>
      <c r="D26" s="398"/>
      <c r="E26" s="325"/>
      <c r="G26" s="997" t="str">
        <f>CONCATENATE("Projected Carryover Into ",E1+1,"")</f>
        <v>Projected Carryover Into 1</v>
      </c>
      <c r="H26" s="998"/>
      <c r="I26" s="998"/>
      <c r="J26" s="992"/>
    </row>
    <row r="27" spans="2:10" ht="15.75">
      <c r="B27" s="299"/>
      <c r="C27" s="398"/>
      <c r="D27" s="398"/>
      <c r="E27" s="325"/>
      <c r="G27" s="637"/>
      <c r="H27" s="638"/>
      <c r="I27" s="638"/>
      <c r="J27" s="689"/>
    </row>
    <row r="28" spans="2:10" ht="15.75">
      <c r="B28" s="299"/>
      <c r="C28" s="398"/>
      <c r="D28" s="398"/>
      <c r="E28" s="325"/>
      <c r="G28" s="690">
        <f>D36</f>
        <v>0</v>
      </c>
      <c r="H28" s="691" t="str">
        <f>CONCATENATE("",E1-1," Ending Cash Balance (est.)")</f>
        <v>-1 Ending Cash Balance (est.)</v>
      </c>
      <c r="I28" s="639"/>
      <c r="J28" s="689"/>
    </row>
    <row r="29" spans="2:10" ht="15.75">
      <c r="B29" s="299"/>
      <c r="C29" s="398"/>
      <c r="D29" s="398"/>
      <c r="E29" s="325"/>
      <c r="G29" s="690">
        <f>E23</f>
        <v>0</v>
      </c>
      <c r="H29" s="692" t="str">
        <f>CONCATENATE("",E1," Non-AV Receipts (est.)")</f>
        <v>0 Non-AV Receipts (est.)</v>
      </c>
      <c r="I29" s="638"/>
      <c r="J29" s="689"/>
    </row>
    <row r="30" spans="2:11" ht="15.75">
      <c r="B30" s="299"/>
      <c r="C30" s="398"/>
      <c r="D30" s="398"/>
      <c r="E30" s="325"/>
      <c r="G30" s="693">
        <f>IF(E41&gt;0,E40,E42)</f>
        <v>0</v>
      </c>
      <c r="H30" s="692" t="str">
        <f>CONCATENATE("",E1," Ad Valorem Tax (est.)")</f>
        <v>0 Ad Valorem Tax (est.)</v>
      </c>
      <c r="I30" s="638"/>
      <c r="J30" s="689"/>
      <c r="K30" s="694">
        <f>IF(G30=E42,"","Note: Does not include Delinquent Taxes")</f>
      </c>
    </row>
    <row r="31" spans="2:10" ht="15.75">
      <c r="B31" s="299"/>
      <c r="C31" s="398"/>
      <c r="D31" s="398"/>
      <c r="E31" s="325"/>
      <c r="G31" s="690">
        <f>SUM(G28:G30)</f>
        <v>0</v>
      </c>
      <c r="H31" s="692" t="str">
        <f>CONCATENATE("Total ",E1," Resources Available")</f>
        <v>Total 0 Resources Available</v>
      </c>
      <c r="I31" s="639"/>
      <c r="J31" s="689"/>
    </row>
    <row r="32" spans="2:10" ht="15.75">
      <c r="B32" s="303" t="str">
        <f>CONCATENATE("Cash Basis Reserve (",E1," column)")</f>
        <v>Cash Basis Reserve (0 column)</v>
      </c>
      <c r="C32" s="398"/>
      <c r="D32" s="398"/>
      <c r="E32" s="325"/>
      <c r="G32" s="695"/>
      <c r="H32" s="692"/>
      <c r="I32" s="638"/>
      <c r="J32" s="689"/>
    </row>
    <row r="33" spans="2:10" ht="15.75">
      <c r="B33" s="303" t="s">
        <v>163</v>
      </c>
      <c r="C33" s="398"/>
      <c r="D33" s="398"/>
      <c r="E33" s="325"/>
      <c r="G33" s="693">
        <f>C35</f>
        <v>0</v>
      </c>
      <c r="H33" s="692" t="str">
        <f>CONCATENATE("Less ",E1-2," Expenditures")</f>
        <v>Less -2 Expenditures</v>
      </c>
      <c r="I33" s="638"/>
      <c r="J33" s="689"/>
    </row>
    <row r="34" spans="2:10" ht="15.75">
      <c r="B34" s="303" t="s">
        <v>164</v>
      </c>
      <c r="C34" s="392">
        <f>IF(C35*0.1&lt;C33,"Exceed 10% Rule","")</f>
      </c>
      <c r="D34" s="392">
        <f>IF(D35*0.1&lt;D33,"Exceed 10% Rule","")</f>
      </c>
      <c r="E34" s="330">
        <f>IF(E35*0.1&lt;E33,"Exceed 10% Rule","")</f>
      </c>
      <c r="G34" s="696">
        <f>SUM(G31-G33)</f>
        <v>0</v>
      </c>
      <c r="H34" s="697" t="str">
        <f>CONCATENATE("Projected ",E1+1," carryover (est.)")</f>
        <v>Projected 1 carryover (est.)</v>
      </c>
      <c r="I34" s="664"/>
      <c r="J34" s="698"/>
    </row>
    <row r="35" spans="2:5" ht="15.75">
      <c r="B35" s="305" t="s">
        <v>280</v>
      </c>
      <c r="C35" s="401">
        <f>SUM(C26:C33)</f>
        <v>0</v>
      </c>
      <c r="D35" s="402">
        <f>SUM(D26:D33)</f>
        <v>0</v>
      </c>
      <c r="E35" s="331">
        <f>SUM(E26:E33)</f>
        <v>0</v>
      </c>
    </row>
    <row r="36" spans="2:10" ht="15.75">
      <c r="B36" s="137" t="s">
        <v>48</v>
      </c>
      <c r="C36" s="403">
        <f>C24-C35</f>
        <v>0</v>
      </c>
      <c r="D36" s="403">
        <f>D24-D35</f>
        <v>0</v>
      </c>
      <c r="E36" s="318" t="s">
        <v>254</v>
      </c>
      <c r="G36" s="993" t="s">
        <v>867</v>
      </c>
      <c r="H36" s="994"/>
      <c r="I36" s="994"/>
      <c r="J36" s="995"/>
    </row>
    <row r="37" spans="2:10" ht="15.75">
      <c r="B37" s="195" t="str">
        <f>CONCATENATE("",E1-2,"/",E1-1,"/",E1," Budget Authority Amount:")</f>
        <v>-2/-1/0 Budget Authority Amount:</v>
      </c>
      <c r="C37" s="326">
        <f>inputOth!B82</f>
        <v>0</v>
      </c>
      <c r="D37" s="326">
        <f>inputPrYr!D23</f>
        <v>0</v>
      </c>
      <c r="E37" s="297">
        <f>E35</f>
        <v>0</v>
      </c>
      <c r="F37" s="319"/>
      <c r="G37" s="665"/>
      <c r="H37" s="666"/>
      <c r="I37" s="667"/>
      <c r="J37" s="668"/>
    </row>
    <row r="38" spans="2:10" ht="15.75">
      <c r="B38" s="161"/>
      <c r="C38" s="984" t="s">
        <v>649</v>
      </c>
      <c r="D38" s="985"/>
      <c r="E38" s="95"/>
      <c r="F38" s="659">
        <f>IF(E35/0.95-E35&lt;E38,"Exceeds 5%","")</f>
      </c>
      <c r="G38" s="669" t="str">
        <f>summ!H20</f>
        <v>  </v>
      </c>
      <c r="H38" s="666" t="str">
        <f>CONCATENATE("",E1," Fund Mill Rate")</f>
        <v>0 Fund Mill Rate</v>
      </c>
      <c r="I38" s="667"/>
      <c r="J38" s="668"/>
    </row>
    <row r="39" spans="2:10" ht="15.75">
      <c r="B39" s="500" t="str">
        <f>CONCATENATE(C95,"     ",D95)</f>
        <v>     </v>
      </c>
      <c r="C39" s="986" t="s">
        <v>650</v>
      </c>
      <c r="D39" s="987"/>
      <c r="E39" s="297">
        <f>E35+E38</f>
        <v>0</v>
      </c>
      <c r="G39" s="670" t="str">
        <f>summ!E20</f>
        <v>  </v>
      </c>
      <c r="H39" s="666" t="str">
        <f>CONCATENATE("",E1-1," Fund Mill Rate")</f>
        <v>-1 Fund Mill Rate</v>
      </c>
      <c r="I39" s="667"/>
      <c r="J39" s="668"/>
    </row>
    <row r="40" spans="2:10" ht="15.75">
      <c r="B40" s="500" t="str">
        <f>CONCATENATE(C96,"     ",D96)</f>
        <v>     </v>
      </c>
      <c r="C40" s="309"/>
      <c r="D40" s="191" t="s">
        <v>281</v>
      </c>
      <c r="E40" s="106">
        <f>IF(E39-E24&gt;0,E39-E24,0)</f>
        <v>0</v>
      </c>
      <c r="G40" s="671">
        <f>summ!H56</f>
        <v>0</v>
      </c>
      <c r="H40" s="666" t="str">
        <f>CONCATENATE("Total ",E1," Mill Rate")</f>
        <v>Total 0 Mill Rate</v>
      </c>
      <c r="I40" s="667"/>
      <c r="J40" s="668"/>
    </row>
    <row r="41" spans="2:10" ht="15.75">
      <c r="B41" s="191"/>
      <c r="C41" s="452" t="s">
        <v>651</v>
      </c>
      <c r="D41" s="721">
        <f>inputOth!$E$66</f>
        <v>0</v>
      </c>
      <c r="E41" s="297">
        <f>ROUND(IF(D41&gt;0,(E40*D41),0),0)</f>
        <v>0</v>
      </c>
      <c r="G41" s="670">
        <f>summ!E56</f>
        <v>0</v>
      </c>
      <c r="H41" s="672" t="str">
        <f>CONCATENATE("Total ",E1-1," Mill Rate")</f>
        <v>Total -1 Mill Rate</v>
      </c>
      <c r="I41" s="673"/>
      <c r="J41" s="674"/>
    </row>
    <row r="42" spans="2:5" ht="16.5" thickBot="1">
      <c r="B42" s="81"/>
      <c r="C42" s="982" t="str">
        <f>CONCATENATE("Amount of  ",$E$1-1," Ad Valorem Tax")</f>
        <v>Amount of  -1 Ad Valorem Tax</v>
      </c>
      <c r="D42" s="983"/>
      <c r="E42" s="322">
        <f>E40+E41</f>
        <v>0</v>
      </c>
    </row>
    <row r="43" spans="2:10" ht="16.5" thickTop="1">
      <c r="B43" s="81"/>
      <c r="C43" s="397"/>
      <c r="D43" s="81"/>
      <c r="E43" s="81"/>
      <c r="G43" s="881" t="s">
        <v>1036</v>
      </c>
      <c r="H43" s="882"/>
      <c r="I43" s="884"/>
      <c r="J43" s="883" t="str">
        <f>cert!F57</f>
        <v>No</v>
      </c>
    </row>
    <row r="44" spans="2:10" ht="15.75">
      <c r="B44" s="84"/>
      <c r="C44" s="241"/>
      <c r="D44" s="241"/>
      <c r="E44" s="241"/>
      <c r="G44" s="874" t="str">
        <f>CONCATENATE("Computed ",E1," tax levy limit amount")</f>
        <v>Computed 0 tax levy limit amount</v>
      </c>
      <c r="H44" s="873"/>
      <c r="I44" s="873"/>
      <c r="J44" s="872">
        <f>computation!J47</f>
        <v>0</v>
      </c>
    </row>
    <row r="45" spans="2:10" ht="15.75">
      <c r="B45" s="84" t="s">
        <v>264</v>
      </c>
      <c r="C45" s="573" t="s">
        <v>781</v>
      </c>
      <c r="D45" s="574" t="s">
        <v>784</v>
      </c>
      <c r="E45" s="168" t="s">
        <v>783</v>
      </c>
      <c r="G45" s="876" t="str">
        <f>CONCATENATE("Total ",E1," tax levy amount")</f>
        <v>Total 0 tax levy amount</v>
      </c>
      <c r="H45" s="652"/>
      <c r="I45" s="652"/>
      <c r="J45" s="871">
        <f>summ!G56</f>
        <v>0</v>
      </c>
    </row>
    <row r="46" spans="2:5" ht="15.75">
      <c r="B46" s="519" t="str">
        <f>inputPrYr!B24</f>
        <v>Library</v>
      </c>
      <c r="C46" s="399" t="str">
        <f>C5</f>
        <v>Actual for -2</v>
      </c>
      <c r="D46" s="399" t="str">
        <f>D5</f>
        <v>Estimate for -1</v>
      </c>
      <c r="E46" s="218" t="str">
        <f>E5</f>
        <v>Year for 0</v>
      </c>
    </row>
    <row r="47" spans="2:5" ht="15.75">
      <c r="B47" s="311" t="s">
        <v>47</v>
      </c>
      <c r="C47" s="391"/>
      <c r="D47" s="396">
        <f>C78</f>
        <v>0</v>
      </c>
      <c r="E47" s="297">
        <f>D78</f>
        <v>0</v>
      </c>
    </row>
    <row r="48" spans="2:5" ht="15.75">
      <c r="B48" s="311" t="s">
        <v>49</v>
      </c>
      <c r="C48" s="182"/>
      <c r="D48" s="182"/>
      <c r="E48" s="109"/>
    </row>
    <row r="49" spans="2:5" ht="15.75">
      <c r="B49" s="137" t="s">
        <v>265</v>
      </c>
      <c r="C49" s="391"/>
      <c r="D49" s="396">
        <f>IF(inputPrYr!H21&gt;0,inputPrYr!G24,inputPrYr!E24)</f>
        <v>0</v>
      </c>
      <c r="E49" s="318" t="s">
        <v>254</v>
      </c>
    </row>
    <row r="50" spans="2:5" ht="15.75">
      <c r="B50" s="137" t="s">
        <v>266</v>
      </c>
      <c r="C50" s="391"/>
      <c r="D50" s="391"/>
      <c r="E50" s="95"/>
    </row>
    <row r="51" spans="2:5" ht="15.75">
      <c r="B51" s="137" t="s">
        <v>267</v>
      </c>
      <c r="C51" s="391"/>
      <c r="D51" s="391"/>
      <c r="E51" s="297" t="str">
        <f>mvalloc!D10</f>
        <v>  </v>
      </c>
    </row>
    <row r="52" spans="2:5" ht="15.75">
      <c r="B52" s="137" t="s">
        <v>268</v>
      </c>
      <c r="C52" s="391"/>
      <c r="D52" s="391"/>
      <c r="E52" s="297" t="str">
        <f>mvalloc!E10</f>
        <v> </v>
      </c>
    </row>
    <row r="53" spans="2:5" ht="15.75">
      <c r="B53" s="182" t="s">
        <v>37</v>
      </c>
      <c r="C53" s="391"/>
      <c r="D53" s="391"/>
      <c r="E53" s="297" t="str">
        <f>mvalloc!F10</f>
        <v> </v>
      </c>
    </row>
    <row r="54" spans="2:5" ht="15.75">
      <c r="B54" s="866" t="s">
        <v>1023</v>
      </c>
      <c r="C54" s="391"/>
      <c r="D54" s="391"/>
      <c r="E54" s="297" t="str">
        <f>mvalloc!G10</f>
        <v> </v>
      </c>
    </row>
    <row r="55" spans="2:5" ht="15.75">
      <c r="B55" s="866" t="s">
        <v>1024</v>
      </c>
      <c r="C55" s="391"/>
      <c r="D55" s="391"/>
      <c r="E55" s="297" t="str">
        <f>mvalloc!H10</f>
        <v> </v>
      </c>
    </row>
    <row r="56" spans="2:5" ht="15.75">
      <c r="B56" s="299"/>
      <c r="C56" s="391"/>
      <c r="D56" s="391"/>
      <c r="E56" s="95"/>
    </row>
    <row r="57" spans="2:5" ht="15.75">
      <c r="B57" s="299"/>
      <c r="C57" s="391"/>
      <c r="D57" s="391"/>
      <c r="E57" s="95"/>
    </row>
    <row r="58" spans="2:5" ht="15.75">
      <c r="B58" s="299"/>
      <c r="C58" s="391"/>
      <c r="D58" s="391"/>
      <c r="E58" s="95"/>
    </row>
    <row r="59" spans="2:5" ht="15.75">
      <c r="B59" s="299"/>
      <c r="C59" s="391"/>
      <c r="D59" s="391"/>
      <c r="E59" s="95"/>
    </row>
    <row r="60" spans="2:5" ht="15.75">
      <c r="B60" s="299"/>
      <c r="C60" s="391"/>
      <c r="D60" s="391"/>
      <c r="E60" s="95"/>
    </row>
    <row r="61" spans="2:10" ht="15.75">
      <c r="B61" s="313" t="s">
        <v>272</v>
      </c>
      <c r="C61" s="391"/>
      <c r="D61" s="391"/>
      <c r="E61" s="95"/>
      <c r="G61" s="996" t="str">
        <f>CONCATENATE("Desired Carryover Into ",E1+1,"")</f>
        <v>Desired Carryover Into 1</v>
      </c>
      <c r="H61" s="991"/>
      <c r="I61" s="991"/>
      <c r="J61" s="992"/>
    </row>
    <row r="62" spans="2:10" ht="15.75">
      <c r="B62" s="303" t="s">
        <v>162</v>
      </c>
      <c r="C62" s="391"/>
      <c r="D62" s="391"/>
      <c r="E62" s="333">
        <f>nhood!E8*-1</f>
        <v>0</v>
      </c>
      <c r="G62" s="678"/>
      <c r="H62" s="450"/>
      <c r="I62" s="679"/>
      <c r="J62" s="680"/>
    </row>
    <row r="63" spans="2:10" ht="15.75">
      <c r="B63" s="303" t="s">
        <v>163</v>
      </c>
      <c r="C63" s="391"/>
      <c r="D63" s="391"/>
      <c r="E63" s="95"/>
      <c r="G63" s="681" t="s">
        <v>652</v>
      </c>
      <c r="H63" s="679"/>
      <c r="I63" s="679"/>
      <c r="J63" s="682">
        <v>0</v>
      </c>
    </row>
    <row r="64" spans="2:10" ht="15.75">
      <c r="B64" s="303" t="s">
        <v>645</v>
      </c>
      <c r="C64" s="392">
        <f>IF(C65*0.1&lt;C63,"Exceed 10% Rule","")</f>
      </c>
      <c r="D64" s="392">
        <f>IF(D65*0.1&lt;D63,"Exceed 10% Rule","")</f>
      </c>
      <c r="E64" s="330">
        <f>IF(E65*0.1+E84&lt;E63,"Exceed 10% Rule","")</f>
      </c>
      <c r="G64" s="678" t="s">
        <v>653</v>
      </c>
      <c r="H64" s="450"/>
      <c r="I64" s="450"/>
      <c r="J64" s="699">
        <f>IF(J63=0,"",ROUND((J63+E84-G76)/inputOth!B14*1000,3)-G81)</f>
      </c>
    </row>
    <row r="65" spans="2:10" ht="15.75">
      <c r="B65" s="305" t="s">
        <v>273</v>
      </c>
      <c r="C65" s="395">
        <f>SUM(C49:C63)</f>
        <v>0</v>
      </c>
      <c r="D65" s="395">
        <f>SUM(D49:D63)</f>
        <v>0</v>
      </c>
      <c r="E65" s="307">
        <f>SUM(E49:E63)</f>
        <v>0</v>
      </c>
      <c r="G65" s="684" t="str">
        <f>CONCATENATE("",E1," Tot Exp/Non-Appr Must Be:")</f>
        <v>0 Tot Exp/Non-Appr Must Be:</v>
      </c>
      <c r="H65" s="685"/>
      <c r="I65" s="686"/>
      <c r="J65" s="687">
        <f>IF(J63&gt;0,IF(E81&lt;E66,IF(J63=G76,E81,((J63-G76)*(1-D83))+E66),E81+(J63-G76)),0)</f>
        <v>0</v>
      </c>
    </row>
    <row r="66" spans="2:10" ht="15.75">
      <c r="B66" s="305" t="s">
        <v>274</v>
      </c>
      <c r="C66" s="395">
        <f>C47+C65</f>
        <v>0</v>
      </c>
      <c r="D66" s="395">
        <f>D47+D65</f>
        <v>0</v>
      </c>
      <c r="E66" s="307">
        <f>E47+E65</f>
        <v>0</v>
      </c>
      <c r="G66" s="651" t="s">
        <v>866</v>
      </c>
      <c r="H66" s="688"/>
      <c r="I66" s="688"/>
      <c r="J66" s="653">
        <f>IF(J63&gt;0,J65-E81,0)</f>
        <v>0</v>
      </c>
    </row>
    <row r="67" spans="2:10" ht="15.75">
      <c r="B67" s="137" t="s">
        <v>276</v>
      </c>
      <c r="C67" s="303"/>
      <c r="D67" s="303"/>
      <c r="E67" s="94"/>
      <c r="J67" s="3"/>
    </row>
    <row r="68" spans="2:10" ht="15.75">
      <c r="B68" s="299"/>
      <c r="C68" s="391"/>
      <c r="D68" s="391"/>
      <c r="E68" s="95"/>
      <c r="G68" s="996" t="str">
        <f>CONCATENATE("Projected Carryover Into ",E1+1,"")</f>
        <v>Projected Carryover Into 1</v>
      </c>
      <c r="H68" s="999"/>
      <c r="I68" s="999"/>
      <c r="J68" s="1000"/>
    </row>
    <row r="69" spans="2:10" ht="15.75">
      <c r="B69" s="299"/>
      <c r="C69" s="391"/>
      <c r="D69" s="391"/>
      <c r="E69" s="95"/>
      <c r="G69" s="451"/>
      <c r="H69" s="450"/>
      <c r="I69" s="450"/>
      <c r="J69" s="449"/>
    </row>
    <row r="70" spans="2:10" ht="15.75">
      <c r="B70" s="299"/>
      <c r="C70" s="391"/>
      <c r="D70" s="391"/>
      <c r="E70" s="95"/>
      <c r="G70" s="701">
        <f>D78</f>
        <v>0</v>
      </c>
      <c r="H70" s="666" t="str">
        <f>CONCATENATE("",E1-1," Ending Cash Balance (est.)")</f>
        <v>-1 Ending Cash Balance (est.)</v>
      </c>
      <c r="I70" s="702"/>
      <c r="J70" s="449"/>
    </row>
    <row r="71" spans="2:10" ht="15.75">
      <c r="B71" s="299"/>
      <c r="C71" s="391"/>
      <c r="D71" s="391"/>
      <c r="E71" s="95"/>
      <c r="G71" s="701">
        <f>E65</f>
        <v>0</v>
      </c>
      <c r="H71" s="679" t="str">
        <f>CONCATENATE("",E1," Non-AV Receipts (est.)")</f>
        <v>0 Non-AV Receipts (est.)</v>
      </c>
      <c r="I71" s="702"/>
      <c r="J71" s="449"/>
    </row>
    <row r="72" spans="2:11" ht="15.75">
      <c r="B72" s="299"/>
      <c r="C72" s="391"/>
      <c r="D72" s="391"/>
      <c r="E72" s="95"/>
      <c r="G72" s="703">
        <f>IF(D83&gt;0,E82,E84)</f>
        <v>0</v>
      </c>
      <c r="H72" s="679" t="str">
        <f>CONCATENATE("",E1," Ad Valorem Tax (est.)")</f>
        <v>0 Ad Valorem Tax (est.)</v>
      </c>
      <c r="I72" s="702"/>
      <c r="J72" s="449"/>
      <c r="K72" s="694">
        <f>IF(G72=E84,"","Note: Does not include Delinquent Taxes")</f>
      </c>
    </row>
    <row r="73" spans="2:10" ht="15.75">
      <c r="B73" s="299"/>
      <c r="C73" s="391"/>
      <c r="D73" s="391"/>
      <c r="E73" s="95"/>
      <c r="G73" s="476">
        <f>SUM(G70:G72)</f>
        <v>0</v>
      </c>
      <c r="H73" s="679" t="str">
        <f>CONCATENATE("Total ",E1," Resources Available")</f>
        <v>Total 0 Resources Available</v>
      </c>
      <c r="I73" s="449"/>
      <c r="J73" s="449"/>
    </row>
    <row r="74" spans="2:10" ht="15.75">
      <c r="B74" s="299"/>
      <c r="C74" s="391"/>
      <c r="D74" s="391"/>
      <c r="E74" s="95"/>
      <c r="G74" s="473"/>
      <c r="H74" s="475"/>
      <c r="I74" s="450"/>
      <c r="J74" s="449"/>
    </row>
    <row r="75" spans="2:10" ht="15.75">
      <c r="B75" s="303" t="s">
        <v>163</v>
      </c>
      <c r="C75" s="391"/>
      <c r="D75" s="391"/>
      <c r="E75" s="95"/>
      <c r="G75" s="474">
        <f>ROUND(C77*0.05+C77,0)</f>
        <v>0</v>
      </c>
      <c r="H75" s="475" t="str">
        <f>CONCATENATE("Less ",E1-2," Expenditures + 5%")</f>
        <v>Less -2 Expenditures + 5%</v>
      </c>
      <c r="I75" s="449"/>
      <c r="J75" s="449"/>
    </row>
    <row r="76" spans="2:10" ht="15.75">
      <c r="B76" s="303" t="s">
        <v>644</v>
      </c>
      <c r="C76" s="392">
        <f>IF(C77*0.1&lt;C75,"Exceed 10% Rule","")</f>
      </c>
      <c r="D76" s="392">
        <f>IF(D77*0.1&lt;D75,"Exceed 10% Rule","")</f>
      </c>
      <c r="E76" s="330">
        <f>IF(E77*0.1&lt;E75,"Exceed 10% Rule","")</f>
      </c>
      <c r="G76" s="472">
        <f>G73-G75</f>
        <v>0</v>
      </c>
      <c r="H76" s="471" t="str">
        <f>CONCATENATE("Projected ",E1+1," carryover (est.)")</f>
        <v>Projected 1 carryover (est.)</v>
      </c>
      <c r="I76" s="448"/>
      <c r="J76" s="709"/>
    </row>
    <row r="77" spans="2:9" ht="15.75">
      <c r="B77" s="321" t="s">
        <v>280</v>
      </c>
      <c r="C77" s="395">
        <f>SUM(C68:C75)</f>
        <v>0</v>
      </c>
      <c r="D77" s="395">
        <f>SUM(D68:D75)</f>
        <v>0</v>
      </c>
      <c r="E77" s="307">
        <f>SUM(E68:E75)</f>
        <v>0</v>
      </c>
      <c r="G77" s="3"/>
      <c r="H77" s="3"/>
      <c r="I77" s="3"/>
    </row>
    <row r="78" spans="2:10" ht="15.75">
      <c r="B78" s="137" t="s">
        <v>48</v>
      </c>
      <c r="C78" s="393">
        <f>C66-C77</f>
        <v>0</v>
      </c>
      <c r="D78" s="393">
        <f>D66-D77</f>
        <v>0</v>
      </c>
      <c r="E78" s="318" t="s">
        <v>254</v>
      </c>
      <c r="G78" s="993" t="s">
        <v>867</v>
      </c>
      <c r="H78" s="994"/>
      <c r="I78" s="994"/>
      <c r="J78" s="995"/>
    </row>
    <row r="79" spans="2:10" ht="15.75">
      <c r="B79" s="195" t="str">
        <f>CONCATENATE("",E1-2,"/",E1-1,"/",E1," Budget Authority Amount:")</f>
        <v>-2/-1/0 Budget Authority Amount:</v>
      </c>
      <c r="C79" s="326">
        <f>inputOth!B83</f>
        <v>0</v>
      </c>
      <c r="D79" s="326">
        <f>inputPrYr!D24</f>
        <v>0</v>
      </c>
      <c r="E79" s="297">
        <f>E77</f>
        <v>0</v>
      </c>
      <c r="F79" s="319"/>
      <c r="G79" s="665"/>
      <c r="H79" s="666"/>
      <c r="I79" s="667"/>
      <c r="J79" s="668"/>
    </row>
    <row r="80" spans="2:10" ht="15.75">
      <c r="B80" s="161"/>
      <c r="C80" s="984" t="s">
        <v>649</v>
      </c>
      <c r="D80" s="985"/>
      <c r="E80" s="95"/>
      <c r="F80" s="736">
        <f>IF(E77/0.95-E77&lt;E80,"Exceeds 5%","")</f>
      </c>
      <c r="G80" s="669" t="str">
        <f>summ!H21</f>
        <v>  </v>
      </c>
      <c r="H80" s="666" t="str">
        <f>CONCATENATE("",E1," Fund Mill Rate")</f>
        <v>0 Fund Mill Rate</v>
      </c>
      <c r="I80" s="667"/>
      <c r="J80" s="668"/>
    </row>
    <row r="81" spans="2:10" ht="15.75">
      <c r="B81" s="500" t="str">
        <f>CONCATENATE(C97,"     ",D97)</f>
        <v>     </v>
      </c>
      <c r="C81" s="986" t="s">
        <v>650</v>
      </c>
      <c r="D81" s="987"/>
      <c r="E81" s="297">
        <f>E77+E80</f>
        <v>0</v>
      </c>
      <c r="G81" s="670" t="str">
        <f>summ!E21</f>
        <v>  </v>
      </c>
      <c r="H81" s="666" t="str">
        <f>CONCATENATE("",E1-1," Fund Mill Rate")</f>
        <v>-1 Fund Mill Rate</v>
      </c>
      <c r="I81" s="667"/>
      <c r="J81" s="668"/>
    </row>
    <row r="82" spans="2:10" ht="15.75">
      <c r="B82" s="500" t="str">
        <f>CONCATENATE(C98,"     ",D98)</f>
        <v>     </v>
      </c>
      <c r="C82" s="309"/>
      <c r="D82" s="191" t="s">
        <v>281</v>
      </c>
      <c r="E82" s="106">
        <f>IF(E81-E66&gt;0,E81-E66,0)</f>
        <v>0</v>
      </c>
      <c r="G82" s="671">
        <f>summ!H56</f>
        <v>0</v>
      </c>
      <c r="H82" s="666" t="str">
        <f>CONCATENATE("Total ",E1," Mill Rate")</f>
        <v>Total 0 Mill Rate</v>
      </c>
      <c r="I82" s="667"/>
      <c r="J82" s="668"/>
    </row>
    <row r="83" spans="2:10" ht="15.75">
      <c r="B83" s="191"/>
      <c r="C83" s="452" t="s">
        <v>651</v>
      </c>
      <c r="D83" s="721">
        <f>inputOth!$E$66</f>
        <v>0</v>
      </c>
      <c r="E83" s="297">
        <f>ROUND(IF(D83&gt;0,(E82*D83),0),0)</f>
        <v>0</v>
      </c>
      <c r="G83" s="670">
        <f>summ!E56</f>
        <v>0</v>
      </c>
      <c r="H83" s="672" t="str">
        <f>CONCATENATE("Total ",E1-1," Mill Rate")</f>
        <v>Total -1 Mill Rate</v>
      </c>
      <c r="I83" s="673"/>
      <c r="J83" s="674"/>
    </row>
    <row r="84" spans="2:6" ht="16.5" thickBot="1">
      <c r="B84" s="81"/>
      <c r="C84" s="982" t="str">
        <f>CONCATENATE("Amount of  ",$E$1-1," Ad Valorem Tax")</f>
        <v>Amount of  -1 Ad Valorem Tax</v>
      </c>
      <c r="D84" s="983"/>
      <c r="E84" s="322">
        <f>E82+E83</f>
        <v>0</v>
      </c>
      <c r="F84" s="694" t="str">
        <f>IF('Library Grant '!F32="","",IF('Library Grant '!F32="Qualify","Qualifies for State Library Grant","See 'Library Grant' tab"))</f>
        <v>Qualifies for State Library Grant</v>
      </c>
    </row>
    <row r="85" spans="2:10" ht="16.5" thickTop="1">
      <c r="B85" s="81"/>
      <c r="C85" s="397"/>
      <c r="D85" s="81"/>
      <c r="E85" s="81"/>
      <c r="G85" s="881" t="s">
        <v>1036</v>
      </c>
      <c r="H85" s="882"/>
      <c r="I85" s="884"/>
      <c r="J85" s="883" t="str">
        <f>cert!F57</f>
        <v>No</v>
      </c>
    </row>
    <row r="86" spans="2:10" ht="15.75">
      <c r="B86" s="161" t="s">
        <v>283</v>
      </c>
      <c r="C86" s="839"/>
      <c r="D86" s="81"/>
      <c r="E86" s="81"/>
      <c r="G86" s="874" t="str">
        <f>CONCATENATE("Computed ",E1," tax levy limit amount")</f>
        <v>Computed 0 tax levy limit amount</v>
      </c>
      <c r="H86" s="873"/>
      <c r="I86" s="873"/>
      <c r="J86" s="870">
        <f>computation!J47</f>
        <v>0</v>
      </c>
    </row>
    <row r="87" spans="7:10" ht="15.75">
      <c r="G87" s="876" t="str">
        <f>CONCATENATE("Total ",E1," tax levy amount")</f>
        <v>Total 0 tax levy amount</v>
      </c>
      <c r="H87" s="652"/>
      <c r="I87" s="652"/>
      <c r="J87" s="869">
        <f>summ!G56</f>
        <v>0</v>
      </c>
    </row>
    <row r="95" spans="3:4" ht="15.75" hidden="1">
      <c r="C95" s="77">
        <f>IF(C35&gt;C37,"See Tab A","")</f>
      </c>
      <c r="D95" s="77">
        <f>IF(D35&gt;D37,"See Tab C","")</f>
      </c>
    </row>
    <row r="96" spans="3:4" ht="15.75" hidden="1">
      <c r="C96" s="77">
        <f>IF(C36&lt;0,"See Tab B","")</f>
      </c>
      <c r="D96" s="77">
        <f>IF(D36&lt;0,"See Tab D","")</f>
      </c>
    </row>
    <row r="97" spans="3:4" ht="15.75" hidden="1">
      <c r="C97" s="77">
        <f>IF(C77&gt;C79,"See Tab A","")</f>
      </c>
      <c r="D97" s="77">
        <f>IF(D77&gt;D79,"See Tab C","")</f>
      </c>
    </row>
    <row r="98" spans="3:4" ht="15.75" hidden="1">
      <c r="C98" s="77">
        <f>IF(C78&lt;0,"See Tab B","")</f>
      </c>
      <c r="D98" s="77">
        <f>IF(D78&lt;0,"See Tab D","")</f>
      </c>
    </row>
  </sheetData>
  <sheetProtection sheet="1"/>
  <mergeCells count="12">
    <mergeCell ref="G19:J19"/>
    <mergeCell ref="G26:J26"/>
    <mergeCell ref="G36:J36"/>
    <mergeCell ref="G61:J61"/>
    <mergeCell ref="G68:J68"/>
    <mergeCell ref="G78:J78"/>
    <mergeCell ref="C80:D80"/>
    <mergeCell ref="C81:D81"/>
    <mergeCell ref="C84:D84"/>
    <mergeCell ref="C38:D38"/>
    <mergeCell ref="C39:D39"/>
    <mergeCell ref="C42:D42"/>
  </mergeCells>
  <conditionalFormatting sqref="E33">
    <cfRule type="cellIs" priority="13" dxfId="326" operator="greaterThan" stopIfTrue="1">
      <formula>$E$35*0.1</formula>
    </cfRule>
  </conditionalFormatting>
  <conditionalFormatting sqref="E38">
    <cfRule type="cellIs" priority="14" dxfId="326" operator="greaterThan" stopIfTrue="1">
      <formula>$E$35/0.95-$E$35</formula>
    </cfRule>
  </conditionalFormatting>
  <conditionalFormatting sqref="D21">
    <cfRule type="cellIs" priority="15" dxfId="1" operator="greaterThan" stopIfTrue="1">
      <formula>$D$23*0.1</formula>
    </cfRule>
  </conditionalFormatting>
  <conditionalFormatting sqref="C21">
    <cfRule type="cellIs" priority="16" dxfId="1" operator="greaterThan" stopIfTrue="1">
      <formula>$C$23*0.1</formula>
    </cfRule>
  </conditionalFormatting>
  <conditionalFormatting sqref="D33">
    <cfRule type="cellIs" priority="17" dxfId="1" operator="greaterThan" stopIfTrue="1">
      <formula>$D$35*0.1</formula>
    </cfRule>
  </conditionalFormatting>
  <conditionalFormatting sqref="D35">
    <cfRule type="cellIs" priority="18" dxfId="1" operator="greaterThan" stopIfTrue="1">
      <formula>$D$37</formula>
    </cfRule>
  </conditionalFormatting>
  <conditionalFormatting sqref="C33">
    <cfRule type="cellIs" priority="19" dxfId="1" operator="greaterThan" stopIfTrue="1">
      <formula>$C$35*0.1</formula>
    </cfRule>
  </conditionalFormatting>
  <conditionalFormatting sqref="C35">
    <cfRule type="cellIs" priority="20" dxfId="1" operator="greaterThan" stopIfTrue="1">
      <formula>$C$37</formula>
    </cfRule>
  </conditionalFormatting>
  <conditionalFormatting sqref="C36">
    <cfRule type="cellIs" priority="21" dxfId="1" operator="lessThan" stopIfTrue="1">
      <formula>0</formula>
    </cfRule>
  </conditionalFormatting>
  <conditionalFormatting sqref="D36">
    <cfRule type="cellIs" priority="12" dxfId="0" operator="lessThan" stopIfTrue="1">
      <formula>0</formula>
    </cfRule>
  </conditionalFormatting>
  <conditionalFormatting sqref="E75">
    <cfRule type="cellIs" priority="11" dxfId="326" operator="greaterThan" stopIfTrue="1">
      <formula>$E$77*0.1</formula>
    </cfRule>
  </conditionalFormatting>
  <conditionalFormatting sqref="E80">
    <cfRule type="cellIs" priority="10" dxfId="326" operator="greaterThan" stopIfTrue="1">
      <formula>$E$77/0.95-$E$77</formula>
    </cfRule>
  </conditionalFormatting>
  <conditionalFormatting sqref="D75">
    <cfRule type="cellIs" priority="9" dxfId="1" operator="greaterThan" stopIfTrue="1">
      <formula>$D$77*0.1</formula>
    </cfRule>
  </conditionalFormatting>
  <conditionalFormatting sqref="C75">
    <cfRule type="cellIs" priority="8" dxfId="1" operator="greaterThan" stopIfTrue="1">
      <formula>$C$77*0.1</formula>
    </cfRule>
  </conditionalFormatting>
  <conditionalFormatting sqref="D77">
    <cfRule type="cellIs" priority="7" dxfId="1" operator="greaterThan" stopIfTrue="1">
      <formula>$D$79</formula>
    </cfRule>
  </conditionalFormatting>
  <conditionalFormatting sqref="C77">
    <cfRule type="cellIs" priority="6" dxfId="1" operator="greaterThan" stopIfTrue="1">
      <formula>$C$79</formula>
    </cfRule>
  </conditionalFormatting>
  <conditionalFormatting sqref="C78">
    <cfRule type="cellIs" priority="5" dxfId="1" operator="lessThan" stopIfTrue="1">
      <formula>0</formula>
    </cfRule>
  </conditionalFormatting>
  <conditionalFormatting sqref="D63">
    <cfRule type="cellIs" priority="4" dxfId="1" operator="greaterThan" stopIfTrue="1">
      <formula>$D$65*0.1</formula>
    </cfRule>
  </conditionalFormatting>
  <conditionalFormatting sqref="C63">
    <cfRule type="cellIs" priority="3" dxfId="1" operator="greaterThan" stopIfTrue="1">
      <formula>$C$65*0.1</formula>
    </cfRule>
  </conditionalFormatting>
  <conditionalFormatting sqref="D78">
    <cfRule type="cellIs" priority="1" dxfId="0" operator="lessThan" stopIfTrue="1">
      <formula>0</formula>
    </cfRule>
  </conditionalFormatting>
  <conditionalFormatting sqref="E21">
    <cfRule type="cellIs" priority="57" dxfId="326" operator="greaterThan" stopIfTrue="1">
      <formula>$E$23*0.1+$E$42</formula>
    </cfRule>
  </conditionalFormatting>
  <conditionalFormatting sqref="E63">
    <cfRule type="cellIs" priority="58" dxfId="326" operator="greaterThan" stopIfTrue="1">
      <formula>$E$65*0.1+$E$84</formula>
    </cfRule>
  </conditionalFormatting>
  <printOptions/>
  <pageMargins left="0.75" right="0.75" top="1" bottom="1" header="0.5" footer="0.5"/>
  <pageSetup blackAndWhite="1" fitToHeight="1" fitToWidth="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42" sqref="Q142"/>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8.09765625" style="77" customWidth="1"/>
    <col min="7" max="7" width="10.19921875" style="77" customWidth="1"/>
    <col min="8" max="8" width="8.8984375" style="77" customWidth="1"/>
    <col min="9" max="9" width="5.6992187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293" t="s">
        <v>6</v>
      </c>
      <c r="C3" s="211"/>
      <c r="D3" s="211"/>
      <c r="E3" s="317"/>
    </row>
    <row r="4" spans="2:5" ht="15.75">
      <c r="B4" s="84" t="s">
        <v>264</v>
      </c>
      <c r="C4" s="573" t="s">
        <v>781</v>
      </c>
      <c r="D4" s="574" t="s">
        <v>782</v>
      </c>
      <c r="E4" s="168" t="s">
        <v>783</v>
      </c>
    </row>
    <row r="5" spans="2:5" ht="15.75">
      <c r="B5" s="520">
        <f>inputPrYr!B26</f>
        <v>0</v>
      </c>
      <c r="C5" s="399" t="str">
        <f>CONCATENATE("Actual for ",E1-2,"")</f>
        <v>Actual for -2</v>
      </c>
      <c r="D5" s="399" t="str">
        <f>CONCATENATE("Estimate for ",E1-1,"")</f>
        <v>Estimate for -1</v>
      </c>
      <c r="E5" s="218" t="str">
        <f>CONCATENATE("Year for ",E1,"")</f>
        <v>Year for 0</v>
      </c>
    </row>
    <row r="6" spans="2:5" ht="15.75">
      <c r="B6" s="311" t="s">
        <v>47</v>
      </c>
      <c r="C6" s="391"/>
      <c r="D6" s="396">
        <f>C36</f>
        <v>0</v>
      </c>
      <c r="E6" s="297">
        <f>D36</f>
        <v>0</v>
      </c>
    </row>
    <row r="7" spans="2:5" ht="15.75">
      <c r="B7" s="312" t="s">
        <v>49</v>
      </c>
      <c r="C7" s="182"/>
      <c r="D7" s="182"/>
      <c r="E7" s="109"/>
    </row>
    <row r="8" spans="2:5" ht="15.75">
      <c r="B8" s="137" t="s">
        <v>265</v>
      </c>
      <c r="C8" s="391"/>
      <c r="D8" s="396">
        <f>IF(inputPrYr!H21&gt;0,inputPrYr!G26,inputPrYr!E26)</f>
        <v>0</v>
      </c>
      <c r="E8" s="318" t="s">
        <v>254</v>
      </c>
    </row>
    <row r="9" spans="2:5" ht="15.75">
      <c r="B9" s="137" t="s">
        <v>266</v>
      </c>
      <c r="C9" s="391"/>
      <c r="D9" s="391"/>
      <c r="E9" s="95"/>
    </row>
    <row r="10" spans="2:5" ht="15.75">
      <c r="B10" s="137" t="s">
        <v>267</v>
      </c>
      <c r="C10" s="391"/>
      <c r="D10" s="391"/>
      <c r="E10" s="297" t="str">
        <f>mvalloc!D11</f>
        <v>  </v>
      </c>
    </row>
    <row r="11" spans="2:5" ht="15.75">
      <c r="B11" s="137" t="s">
        <v>268</v>
      </c>
      <c r="C11" s="391"/>
      <c r="D11" s="391"/>
      <c r="E11" s="297" t="str">
        <f>mvalloc!E11</f>
        <v> </v>
      </c>
    </row>
    <row r="12" spans="2:5" ht="15.75">
      <c r="B12" s="182" t="s">
        <v>37</v>
      </c>
      <c r="C12" s="391"/>
      <c r="D12" s="391"/>
      <c r="E12" s="297" t="str">
        <f>mvalloc!F11</f>
        <v> </v>
      </c>
    </row>
    <row r="13" spans="2:5" ht="15.75">
      <c r="B13" s="327" t="s">
        <v>1023</v>
      </c>
      <c r="C13" s="391"/>
      <c r="D13" s="391"/>
      <c r="E13" s="297" t="str">
        <f>mvalloc!G11</f>
        <v> </v>
      </c>
    </row>
    <row r="14" spans="2:5" ht="15.75">
      <c r="B14" s="327" t="s">
        <v>1024</v>
      </c>
      <c r="C14" s="391"/>
      <c r="D14" s="391"/>
      <c r="E14" s="297" t="str">
        <f>mvalloc!H11</f>
        <v> </v>
      </c>
    </row>
    <row r="15" spans="2:5" ht="15.75">
      <c r="B15" s="299"/>
      <c r="C15" s="391"/>
      <c r="D15" s="391"/>
      <c r="E15" s="95"/>
    </row>
    <row r="16" spans="2:5" ht="15.75">
      <c r="B16" s="299"/>
      <c r="C16" s="391"/>
      <c r="D16" s="391"/>
      <c r="E16" s="95"/>
    </row>
    <row r="17" spans="2:5" ht="15.75">
      <c r="B17" s="299"/>
      <c r="C17" s="391"/>
      <c r="D17" s="391"/>
      <c r="E17" s="95"/>
    </row>
    <row r="18" spans="2:10" ht="15.75">
      <c r="B18" s="299"/>
      <c r="C18" s="391"/>
      <c r="D18" s="391"/>
      <c r="E18" s="95"/>
      <c r="G18" s="996" t="str">
        <f>CONCATENATE("Desired Carryover Into ",E1+1,"")</f>
        <v>Desired Carryover Into 1</v>
      </c>
      <c r="H18" s="991"/>
      <c r="I18" s="991"/>
      <c r="J18" s="992"/>
    </row>
    <row r="19" spans="2:10" ht="15.75">
      <c r="B19" s="313" t="s">
        <v>272</v>
      </c>
      <c r="C19" s="391"/>
      <c r="D19" s="391"/>
      <c r="E19" s="95"/>
      <c r="G19" s="678"/>
      <c r="H19" s="450"/>
      <c r="I19" s="679"/>
      <c r="J19" s="680"/>
    </row>
    <row r="20" spans="2:10" ht="15.75">
      <c r="B20" s="303" t="s">
        <v>162</v>
      </c>
      <c r="C20" s="391"/>
      <c r="D20" s="391"/>
      <c r="E20" s="333">
        <f>nhood!E9*-1</f>
        <v>0</v>
      </c>
      <c r="G20" s="681" t="s">
        <v>652</v>
      </c>
      <c r="H20" s="679"/>
      <c r="I20" s="679"/>
      <c r="J20" s="682">
        <v>0</v>
      </c>
    </row>
    <row r="21" spans="2:10" ht="15.75">
      <c r="B21" s="303" t="s">
        <v>163</v>
      </c>
      <c r="C21" s="391"/>
      <c r="D21" s="391"/>
      <c r="E21" s="95"/>
      <c r="G21" s="678" t="s">
        <v>653</v>
      </c>
      <c r="H21" s="450"/>
      <c r="I21" s="450"/>
      <c r="J21" s="699">
        <f>IF(J20=0,"",ROUND((J20+E42-G33)/inputOth!B14*1000,3)-G38)</f>
      </c>
    </row>
    <row r="22" spans="2:10" ht="15.75">
      <c r="B22" s="303" t="s">
        <v>645</v>
      </c>
      <c r="C22" s="392">
        <f>IF(C23*0.1&lt;C21,"Exceed 10% Rule","")</f>
      </c>
      <c r="D22" s="392">
        <f>IF(D23*0.1&lt;D21,"Exceed 10% Rule","")</f>
      </c>
      <c r="E22" s="330">
        <f>IF(E23*0.1+E42&lt;E21,"Exceed 10% Rule","")</f>
      </c>
      <c r="G22" s="684" t="str">
        <f>CONCATENATE("",E1," Tot Exp/Non-Appr Must Be:")</f>
        <v>0 Tot Exp/Non-Appr Must Be:</v>
      </c>
      <c r="H22" s="685"/>
      <c r="I22" s="686"/>
      <c r="J22" s="687">
        <f>IF(J20&gt;0,IF(E39&lt;E24,IF(J20=G33,E39,((J20-G33)*(1-D41))+E24),E39+(J20-G33)),0)</f>
        <v>0</v>
      </c>
    </row>
    <row r="23" spans="2:10" ht="15.75">
      <c r="B23" s="305" t="s">
        <v>273</v>
      </c>
      <c r="C23" s="395">
        <f>SUM(C8:C21)</f>
        <v>0</v>
      </c>
      <c r="D23" s="395">
        <f>SUM(D8:D21)</f>
        <v>0</v>
      </c>
      <c r="E23" s="307">
        <f>SUM(E8:E21)</f>
        <v>0</v>
      </c>
      <c r="G23" s="651" t="s">
        <v>866</v>
      </c>
      <c r="H23" s="688"/>
      <c r="I23" s="688"/>
      <c r="J23" s="653">
        <f>IF(J20&gt;0,J22-E39,0)</f>
        <v>0</v>
      </c>
    </row>
    <row r="24" spans="2:10" ht="15.75">
      <c r="B24" s="305" t="s">
        <v>274</v>
      </c>
      <c r="C24" s="393">
        <f>C6+C23</f>
        <v>0</v>
      </c>
      <c r="D24" s="393">
        <f>D6+D23</f>
        <v>0</v>
      </c>
      <c r="E24" s="106">
        <f>E6+E23</f>
        <v>0</v>
      </c>
      <c r="J24" s="3"/>
    </row>
    <row r="25" spans="2:10" ht="15.75">
      <c r="B25" s="137" t="s">
        <v>276</v>
      </c>
      <c r="C25" s="303"/>
      <c r="D25" s="303"/>
      <c r="E25" s="94"/>
      <c r="G25" s="996" t="str">
        <f>CONCATENATE("Projected Carryover Into ",E1+1,"")</f>
        <v>Projected Carryover Into 1</v>
      </c>
      <c r="H25" s="998"/>
      <c r="I25" s="998"/>
      <c r="J25" s="1000"/>
    </row>
    <row r="26" spans="2:10" ht="15.75">
      <c r="B26" s="299"/>
      <c r="C26" s="391"/>
      <c r="D26" s="391"/>
      <c r="E26" s="95"/>
      <c r="G26" s="678"/>
      <c r="H26" s="679"/>
      <c r="I26" s="679"/>
      <c r="J26" s="700"/>
    </row>
    <row r="27" spans="2:10" ht="15.75">
      <c r="B27" s="299"/>
      <c r="C27" s="391"/>
      <c r="D27" s="391"/>
      <c r="E27" s="95"/>
      <c r="G27" s="701">
        <f>D36</f>
        <v>0</v>
      </c>
      <c r="H27" s="666" t="str">
        <f>CONCATENATE("",E1-1," Ending Cash Balance (est.)")</f>
        <v>-1 Ending Cash Balance (est.)</v>
      </c>
      <c r="I27" s="702"/>
      <c r="J27" s="700"/>
    </row>
    <row r="28" spans="2:10" ht="15.75">
      <c r="B28" s="299"/>
      <c r="C28" s="391"/>
      <c r="D28" s="391"/>
      <c r="E28" s="95"/>
      <c r="G28" s="701">
        <f>E23</f>
        <v>0</v>
      </c>
      <c r="H28" s="679" t="str">
        <f>CONCATENATE("",E1," Non-AV Receipts (est.)")</f>
        <v>0 Non-AV Receipts (est.)</v>
      </c>
      <c r="I28" s="702"/>
      <c r="J28" s="700"/>
    </row>
    <row r="29" spans="2:11" ht="15.75">
      <c r="B29" s="299"/>
      <c r="C29" s="391"/>
      <c r="D29" s="391"/>
      <c r="E29" s="95"/>
      <c r="G29" s="703">
        <f>IF(E41&gt;0,E40,E42)</f>
        <v>0</v>
      </c>
      <c r="H29" s="679" t="str">
        <f>CONCATENATE("",E1," Ad Valorem Tax (est.)")</f>
        <v>0 Ad Valorem Tax (est.)</v>
      </c>
      <c r="I29" s="702"/>
      <c r="J29" s="704"/>
      <c r="K29" s="694">
        <f>IF(G29=E42,"","Note: Does not include Delinquent Taxes")</f>
      </c>
    </row>
    <row r="30" spans="2:10" ht="15.75">
      <c r="B30" s="299"/>
      <c r="C30" s="391"/>
      <c r="D30" s="391"/>
      <c r="E30" s="95"/>
      <c r="G30" s="701">
        <f>SUM(G27:G29)</f>
        <v>0</v>
      </c>
      <c r="H30" s="679" t="str">
        <f>CONCATENATE("Total ",E1," Resources Available")</f>
        <v>Total 0 Resources Available</v>
      </c>
      <c r="I30" s="702"/>
      <c r="J30" s="700"/>
    </row>
    <row r="31" spans="2:10" ht="15.75">
      <c r="B31" s="299"/>
      <c r="C31" s="391"/>
      <c r="D31" s="391"/>
      <c r="E31" s="95"/>
      <c r="G31" s="705"/>
      <c r="H31" s="679"/>
      <c r="I31" s="679"/>
      <c r="J31" s="700"/>
    </row>
    <row r="32" spans="2:10" ht="15.75">
      <c r="B32" s="303" t="str">
        <f>CONCATENATE("Cash Forward (",E1," column)")</f>
        <v>Cash Forward (0 column)</v>
      </c>
      <c r="C32" s="391"/>
      <c r="D32" s="391"/>
      <c r="E32" s="95"/>
      <c r="G32" s="703">
        <f>ROUND(C35*0.05+C35,0)</f>
        <v>0</v>
      </c>
      <c r="H32" s="679" t="str">
        <f>CONCATENATE("Less ",E1-2," Expenditures + 5%")</f>
        <v>Less -2 Expenditures + 5%</v>
      </c>
      <c r="I32" s="702"/>
      <c r="J32" s="700"/>
    </row>
    <row r="33" spans="2:10" ht="15.75">
      <c r="B33" s="303" t="s">
        <v>163</v>
      </c>
      <c r="C33" s="391"/>
      <c r="D33" s="391"/>
      <c r="E33" s="95"/>
      <c r="G33" s="706">
        <f>G30-G32</f>
        <v>0</v>
      </c>
      <c r="H33" s="707" t="str">
        <f>CONCATENATE("Projected ",E1+1," carryover (est.)")</f>
        <v>Projected 1 carryover (est.)</v>
      </c>
      <c r="I33" s="708"/>
      <c r="J33" s="709"/>
    </row>
    <row r="34" spans="2:10" ht="15.75">
      <c r="B34" s="303" t="s">
        <v>644</v>
      </c>
      <c r="C34" s="392">
        <f>IF(C35*0.1&lt;C33,"Exceed 10% Rule","")</f>
      </c>
      <c r="D34" s="392">
        <f>IF(D35*0.1&lt;D33,"Exceed 10% Rule","")</f>
      </c>
      <c r="E34" s="330">
        <f>IF(E35*0.1&lt;E33,"Exceed 10% Rule","")</f>
      </c>
      <c r="G34" s="3"/>
      <c r="H34" s="3"/>
      <c r="I34" s="3"/>
      <c r="J34" s="3"/>
    </row>
    <row r="35" spans="2:10" ht="15.75">
      <c r="B35" s="305" t="s">
        <v>280</v>
      </c>
      <c r="C35" s="395">
        <f>SUM(C26:C33)</f>
        <v>0</v>
      </c>
      <c r="D35" s="395">
        <f>SUM(D26:D33)</f>
        <v>0</v>
      </c>
      <c r="E35" s="307">
        <f>SUM(E26:E33)</f>
        <v>0</v>
      </c>
      <c r="G35" s="993" t="s">
        <v>867</v>
      </c>
      <c r="H35" s="994"/>
      <c r="I35" s="994"/>
      <c r="J35" s="995"/>
    </row>
    <row r="36" spans="2:10" ht="15.75">
      <c r="B36" s="137" t="s">
        <v>48</v>
      </c>
      <c r="C36" s="393">
        <f>C24-C35</f>
        <v>0</v>
      </c>
      <c r="D36" s="393">
        <f>D24-D35</f>
        <v>0</v>
      </c>
      <c r="E36" s="318" t="s">
        <v>254</v>
      </c>
      <c r="G36" s="665"/>
      <c r="H36" s="666"/>
      <c r="I36" s="667"/>
      <c r="J36" s="668"/>
    </row>
    <row r="37" spans="2:10" ht="15.75">
      <c r="B37" s="195" t="str">
        <f>CONCATENATE("",E1-2,"/",E1-1,"/",E1," Budget Authority Amount:")</f>
        <v>-2/-1/0 Budget Authority Amount:</v>
      </c>
      <c r="C37" s="326">
        <f>inputOth!B84</f>
        <v>0</v>
      </c>
      <c r="D37" s="326">
        <f>inputPrYr!D26</f>
        <v>0</v>
      </c>
      <c r="E37" s="297">
        <f>E35</f>
        <v>0</v>
      </c>
      <c r="F37" s="319"/>
      <c r="G37" s="669" t="str">
        <f>summ!H22</f>
        <v>  </v>
      </c>
      <c r="H37" s="666" t="str">
        <f>CONCATENATE("",E1," Fund Mill Rate")</f>
        <v>0 Fund Mill Rate</v>
      </c>
      <c r="I37" s="667"/>
      <c r="J37" s="668"/>
    </row>
    <row r="38" spans="2:10" ht="15.75">
      <c r="B38" s="161"/>
      <c r="C38" s="984" t="s">
        <v>649</v>
      </c>
      <c r="D38" s="985"/>
      <c r="E38" s="95"/>
      <c r="F38" s="736">
        <f>IF(E35/0.95-E35&lt;E38,"Exceeds 5%","")</f>
      </c>
      <c r="G38" s="670" t="str">
        <f>summ!E22</f>
        <v>  </v>
      </c>
      <c r="H38" s="666" t="str">
        <f>CONCATENATE("",E1-1," Fund Mill Rate")</f>
        <v>-1 Fund Mill Rate</v>
      </c>
      <c r="I38" s="667"/>
      <c r="J38" s="668"/>
    </row>
    <row r="39" spans="2:10" ht="15.75">
      <c r="B39" s="500" t="str">
        <f>CONCATENATE(C95,"     ",D95)</f>
        <v>     </v>
      </c>
      <c r="C39" s="986" t="s">
        <v>650</v>
      </c>
      <c r="D39" s="987"/>
      <c r="E39" s="297">
        <f>E35+E38</f>
        <v>0</v>
      </c>
      <c r="G39" s="671">
        <f>summ!H56</f>
        <v>0</v>
      </c>
      <c r="H39" s="666" t="str">
        <f>CONCATENATE("Total ",E1," Mill Rate")</f>
        <v>Total 0 Mill Rate</v>
      </c>
      <c r="I39" s="667"/>
      <c r="J39" s="668"/>
    </row>
    <row r="40" spans="2:10" ht="15.75">
      <c r="B40" s="500" t="str">
        <f>CONCATENATE(C96,"     ",D96)</f>
        <v>     </v>
      </c>
      <c r="C40" s="309"/>
      <c r="D40" s="191" t="s">
        <v>281</v>
      </c>
      <c r="E40" s="106">
        <f>IF(E39-E24&gt;0,E39-E24,0)</f>
        <v>0</v>
      </c>
      <c r="G40" s="670">
        <f>summ!E56</f>
        <v>0</v>
      </c>
      <c r="H40" s="672" t="str">
        <f>CONCATENATE("Total ",E1-1," Mill Rate")</f>
        <v>Total -1 Mill Rate</v>
      </c>
      <c r="I40" s="673"/>
      <c r="J40" s="674"/>
    </row>
    <row r="41" spans="2:5" ht="15.75">
      <c r="B41" s="191"/>
      <c r="C41" s="452" t="s">
        <v>651</v>
      </c>
      <c r="D41" s="721">
        <f>inputOth!$E$66</f>
        <v>0</v>
      </c>
      <c r="E41" s="297">
        <f>ROUND(IF(D41&gt;0,(E40*D41),0),0)</f>
        <v>0</v>
      </c>
    </row>
    <row r="42" spans="2:10" ht="16.5" thickBot="1">
      <c r="B42" s="191"/>
      <c r="C42" s="982" t="str">
        <f>CONCATENATE("Amount of  ",$E$1-1," Ad Valorem Tax")</f>
        <v>Amount of  -1 Ad Valorem Tax</v>
      </c>
      <c r="D42" s="983"/>
      <c r="E42" s="322">
        <f>E40+E41</f>
        <v>0</v>
      </c>
      <c r="G42" s="881" t="s">
        <v>1036</v>
      </c>
      <c r="H42" s="882"/>
      <c r="I42" s="884"/>
      <c r="J42" s="883" t="str">
        <f>cert!F57</f>
        <v>No</v>
      </c>
    </row>
    <row r="43" spans="2:10" ht="16.5" thickTop="1">
      <c r="B43" s="81"/>
      <c r="C43" s="982"/>
      <c r="D43" s="1001"/>
      <c r="E43" s="102"/>
      <c r="G43" s="874" t="str">
        <f>CONCATENATE("Computed ",E1," tax levy limit amount")</f>
        <v>Computed 0 tax levy limit amount</v>
      </c>
      <c r="H43" s="873"/>
      <c r="I43" s="873"/>
      <c r="J43" s="870">
        <f>computation!J47</f>
        <v>0</v>
      </c>
    </row>
    <row r="44" spans="2:10" ht="15.75">
      <c r="B44" s="84"/>
      <c r="C44" s="241"/>
      <c r="D44" s="241"/>
      <c r="E44" s="241"/>
      <c r="G44" s="876" t="str">
        <f>CONCATENATE("Total ",E1," tax levy amount")</f>
        <v>Total 0 tax levy amount</v>
      </c>
      <c r="H44" s="652"/>
      <c r="I44" s="652"/>
      <c r="J44" s="869">
        <f>summ!G56</f>
        <v>0</v>
      </c>
    </row>
    <row r="45" spans="2:5" ht="15.75">
      <c r="B45" s="84" t="s">
        <v>264</v>
      </c>
      <c r="C45" s="573" t="s">
        <v>781</v>
      </c>
      <c r="D45" s="574" t="s">
        <v>784</v>
      </c>
      <c r="E45" s="168" t="s">
        <v>783</v>
      </c>
    </row>
    <row r="46" spans="2:5" ht="15.75">
      <c r="B46" s="519">
        <f>(inputPrYr!B27)</f>
        <v>0</v>
      </c>
      <c r="C46" s="399" t="str">
        <f>C5</f>
        <v>Actual for -2</v>
      </c>
      <c r="D46" s="399" t="str">
        <f>D5</f>
        <v>Estimate for -1</v>
      </c>
      <c r="E46" s="218" t="str">
        <f>E5</f>
        <v>Year for 0</v>
      </c>
    </row>
    <row r="47" spans="2:5" ht="15.75">
      <c r="B47" s="311" t="s">
        <v>47</v>
      </c>
      <c r="C47" s="391"/>
      <c r="D47" s="396">
        <f>C78</f>
        <v>0</v>
      </c>
      <c r="E47" s="297">
        <f>D78</f>
        <v>0</v>
      </c>
    </row>
    <row r="48" spans="2:5" ht="15.75">
      <c r="B48" s="311" t="s">
        <v>49</v>
      </c>
      <c r="C48" s="182"/>
      <c r="D48" s="182"/>
      <c r="E48" s="109"/>
    </row>
    <row r="49" spans="2:5" ht="15.75">
      <c r="B49" s="137" t="s">
        <v>265</v>
      </c>
      <c r="C49" s="391"/>
      <c r="D49" s="396">
        <f>IF(inputPrYr!H21&gt;0,inputPrYr!G27,inputPrYr!E27)</f>
        <v>0</v>
      </c>
      <c r="E49" s="318" t="s">
        <v>254</v>
      </c>
    </row>
    <row r="50" spans="2:5" ht="15.75">
      <c r="B50" s="137" t="s">
        <v>266</v>
      </c>
      <c r="C50" s="391"/>
      <c r="D50" s="391"/>
      <c r="E50" s="95"/>
    </row>
    <row r="51" spans="2:5" ht="15.75">
      <c r="B51" s="137" t="s">
        <v>267</v>
      </c>
      <c r="C51" s="391"/>
      <c r="D51" s="391"/>
      <c r="E51" s="297" t="str">
        <f>mvalloc!D12</f>
        <v>  </v>
      </c>
    </row>
    <row r="52" spans="2:5" ht="15.75">
      <c r="B52" s="137" t="s">
        <v>268</v>
      </c>
      <c r="C52" s="391"/>
      <c r="D52" s="391"/>
      <c r="E52" s="297" t="str">
        <f>mvalloc!E12</f>
        <v> </v>
      </c>
    </row>
    <row r="53" spans="2:5" ht="15.75">
      <c r="B53" s="182" t="s">
        <v>37</v>
      </c>
      <c r="C53" s="391"/>
      <c r="D53" s="391"/>
      <c r="E53" s="297" t="str">
        <f>mvalloc!F12</f>
        <v> </v>
      </c>
    </row>
    <row r="54" spans="2:5" ht="15.75">
      <c r="B54" s="327" t="s">
        <v>1023</v>
      </c>
      <c r="C54" s="391"/>
      <c r="D54" s="391"/>
      <c r="E54" s="297" t="str">
        <f>mvalloc!G12</f>
        <v> </v>
      </c>
    </row>
    <row r="55" spans="2:5" ht="15.75">
      <c r="B55" s="327" t="s">
        <v>1024</v>
      </c>
      <c r="C55" s="391"/>
      <c r="D55" s="391"/>
      <c r="E55" s="297" t="str">
        <f>mvalloc!H12</f>
        <v> </v>
      </c>
    </row>
    <row r="56" spans="2:5" ht="15.75">
      <c r="B56" s="299"/>
      <c r="C56" s="391"/>
      <c r="D56" s="391"/>
      <c r="E56" s="95"/>
    </row>
    <row r="57" spans="2:5" ht="15.75">
      <c r="B57" s="299"/>
      <c r="C57" s="391"/>
      <c r="D57" s="391"/>
      <c r="E57" s="95"/>
    </row>
    <row r="58" spans="2:5" ht="15.75">
      <c r="B58" s="299"/>
      <c r="C58" s="391"/>
      <c r="D58" s="391"/>
      <c r="E58" s="95"/>
    </row>
    <row r="59" spans="2:5" ht="15.75">
      <c r="B59" s="299"/>
      <c r="C59" s="391"/>
      <c r="D59" s="391"/>
      <c r="E59" s="95"/>
    </row>
    <row r="60" spans="2:10" ht="15.75">
      <c r="B60" s="299"/>
      <c r="C60" s="391"/>
      <c r="D60" s="391"/>
      <c r="E60" s="95"/>
      <c r="G60" s="996" t="str">
        <f>CONCATENATE("Desired Carryover Into ",E1+1,"")</f>
        <v>Desired Carryover Into 1</v>
      </c>
      <c r="H60" s="991"/>
      <c r="I60" s="991"/>
      <c r="J60" s="992"/>
    </row>
    <row r="61" spans="2:10" ht="15.75">
      <c r="B61" s="313" t="s">
        <v>272</v>
      </c>
      <c r="C61" s="391"/>
      <c r="D61" s="391"/>
      <c r="E61" s="95"/>
      <c r="G61" s="678"/>
      <c r="H61" s="450"/>
      <c r="I61" s="679"/>
      <c r="J61" s="680"/>
    </row>
    <row r="62" spans="2:10" ht="15.75">
      <c r="B62" s="303" t="s">
        <v>162</v>
      </c>
      <c r="C62" s="391"/>
      <c r="D62" s="391"/>
      <c r="E62" s="333">
        <f>nhood!E10*-1</f>
        <v>0</v>
      </c>
      <c r="G62" s="681" t="s">
        <v>652</v>
      </c>
      <c r="H62" s="679"/>
      <c r="I62" s="679"/>
      <c r="J62" s="682">
        <v>0</v>
      </c>
    </row>
    <row r="63" spans="2:10" ht="15.75">
      <c r="B63" s="303" t="s">
        <v>163</v>
      </c>
      <c r="C63" s="391"/>
      <c r="D63" s="391"/>
      <c r="E63" s="95"/>
      <c r="G63" s="678" t="s">
        <v>653</v>
      </c>
      <c r="H63" s="450"/>
      <c r="I63" s="450"/>
      <c r="J63" s="699">
        <f>IF(J62=0,"",ROUND((J62+E84-G75)/inputOth!B14*1000,3)-G80)</f>
      </c>
    </row>
    <row r="64" spans="2:10" ht="15.75">
      <c r="B64" s="303" t="s">
        <v>645</v>
      </c>
      <c r="C64" s="392">
        <f>IF(C65*0.1&lt;C63,"Exceed 10% Rule","")</f>
      </c>
      <c r="D64" s="392">
        <f>IF(D65*0.1&lt;D63,"Exceed 10% Rule","")</f>
      </c>
      <c r="E64" s="330">
        <f>IF(E65*0.1+E84&lt;E63,"Exceed 10% Rule","")</f>
      </c>
      <c r="G64" s="684" t="str">
        <f>CONCATENATE("",E1," Tot Exp/Non-Appr Must Be:")</f>
        <v>0 Tot Exp/Non-Appr Must Be:</v>
      </c>
      <c r="H64" s="685"/>
      <c r="I64" s="686"/>
      <c r="J64" s="687">
        <f>IF(J62&gt;0,IF(E81&lt;E66,IF(J62=G75,E81,((J62-G75)*(1-D83))+E66),E81+(J62-G75)),0)</f>
        <v>0</v>
      </c>
    </row>
    <row r="65" spans="2:10" ht="15.75">
      <c r="B65" s="305" t="s">
        <v>273</v>
      </c>
      <c r="C65" s="395">
        <f>SUM(C49:C63)</f>
        <v>0</v>
      </c>
      <c r="D65" s="395">
        <f>SUM(D49:D63)</f>
        <v>0</v>
      </c>
      <c r="E65" s="307">
        <f>SUM(E49:E63)</f>
        <v>0</v>
      </c>
      <c r="G65" s="651" t="s">
        <v>866</v>
      </c>
      <c r="H65" s="688"/>
      <c r="I65" s="688"/>
      <c r="J65" s="653">
        <f>IF(J62&gt;0,J64-E81,0)</f>
        <v>0</v>
      </c>
    </row>
    <row r="66" spans="2:10" ht="15.75">
      <c r="B66" s="305" t="s">
        <v>274</v>
      </c>
      <c r="C66" s="395">
        <f>C47+C65</f>
        <v>0</v>
      </c>
      <c r="D66" s="395">
        <f>D47+D65</f>
        <v>0</v>
      </c>
      <c r="E66" s="307">
        <f>E47+E65</f>
        <v>0</v>
      </c>
      <c r="J66" s="3"/>
    </row>
    <row r="67" spans="2:10" ht="15.75">
      <c r="B67" s="137" t="s">
        <v>276</v>
      </c>
      <c r="C67" s="303"/>
      <c r="D67" s="303"/>
      <c r="E67" s="94"/>
      <c r="G67" s="996" t="str">
        <f>CONCATENATE("Projected Carryover Into ",E1+1,"")</f>
        <v>Projected Carryover Into 1</v>
      </c>
      <c r="H67" s="999"/>
      <c r="I67" s="999"/>
      <c r="J67" s="1000"/>
    </row>
    <row r="68" spans="2:10" ht="15.75">
      <c r="B68" s="299"/>
      <c r="C68" s="391"/>
      <c r="D68" s="391"/>
      <c r="E68" s="95"/>
      <c r="G68" s="451"/>
      <c r="H68" s="450"/>
      <c r="I68" s="450"/>
      <c r="J68" s="449"/>
    </row>
    <row r="69" spans="2:10" ht="15.75">
      <c r="B69" s="299"/>
      <c r="C69" s="391"/>
      <c r="D69" s="391"/>
      <c r="E69" s="95"/>
      <c r="G69" s="701">
        <f>D78</f>
        <v>0</v>
      </c>
      <c r="H69" s="666" t="str">
        <f>CONCATENATE("",E1-1," Ending Cash Balance (est.)")</f>
        <v>-1 Ending Cash Balance (est.)</v>
      </c>
      <c r="I69" s="702"/>
      <c r="J69" s="449"/>
    </row>
    <row r="70" spans="2:10" ht="15.75">
      <c r="B70" s="299"/>
      <c r="C70" s="391"/>
      <c r="D70" s="391"/>
      <c r="E70" s="95"/>
      <c r="G70" s="701">
        <f>E65</f>
        <v>0</v>
      </c>
      <c r="H70" s="679" t="str">
        <f>CONCATENATE("",E1," Non-AV Receipts (est.)")</f>
        <v>0 Non-AV Receipts (est.)</v>
      </c>
      <c r="I70" s="702"/>
      <c r="J70" s="449"/>
    </row>
    <row r="71" spans="2:11" ht="15.75">
      <c r="B71" s="299"/>
      <c r="C71" s="391"/>
      <c r="D71" s="391"/>
      <c r="E71" s="95"/>
      <c r="G71" s="703">
        <f>IF(D83&gt;0,E82,E84)</f>
        <v>0</v>
      </c>
      <c r="H71" s="679" t="str">
        <f>CONCATENATE("",E1," Ad Valorem Tax (est.)")</f>
        <v>0 Ad Valorem Tax (est.)</v>
      </c>
      <c r="I71" s="702"/>
      <c r="J71" s="449"/>
      <c r="K71" s="694">
        <f>IF(G71=E84,"","Note: Does not include Delinquent Taxes")</f>
      </c>
    </row>
    <row r="72" spans="2:10" ht="15.75">
      <c r="B72" s="299"/>
      <c r="C72" s="391"/>
      <c r="D72" s="391"/>
      <c r="E72" s="95"/>
      <c r="G72" s="476">
        <f>SUM(G69:G71)</f>
        <v>0</v>
      </c>
      <c r="H72" s="679" t="str">
        <f>CONCATENATE("Total ",E1," Resources Available")</f>
        <v>Total 0 Resources Available</v>
      </c>
      <c r="I72" s="449"/>
      <c r="J72" s="449"/>
    </row>
    <row r="73" spans="2:10" ht="15.75">
      <c r="B73" s="299"/>
      <c r="C73" s="391"/>
      <c r="D73" s="391"/>
      <c r="E73" s="95"/>
      <c r="G73" s="473"/>
      <c r="H73" s="475"/>
      <c r="I73" s="450"/>
      <c r="J73" s="449"/>
    </row>
    <row r="74" spans="2:10" ht="15.75">
      <c r="B74" s="303" t="str">
        <f>CONCATENATE("Cash Forward (",E1," column)")</f>
        <v>Cash Forward (0 column)</v>
      </c>
      <c r="C74" s="391"/>
      <c r="D74" s="391"/>
      <c r="E74" s="95"/>
      <c r="G74" s="474">
        <f>ROUND(C77*0.05+C77,0)</f>
        <v>0</v>
      </c>
      <c r="H74" s="475" t="str">
        <f>CONCATENATE("Less ",E1-2," Expenditures + 5%")</f>
        <v>Less -2 Expenditures + 5%</v>
      </c>
      <c r="I74" s="449"/>
      <c r="J74" s="449"/>
    </row>
    <row r="75" spans="2:10" ht="15.75">
      <c r="B75" s="303" t="s">
        <v>163</v>
      </c>
      <c r="C75" s="391"/>
      <c r="D75" s="391"/>
      <c r="E75" s="95"/>
      <c r="G75" s="472">
        <f>G72-G74</f>
        <v>0</v>
      </c>
      <c r="H75" s="471" t="str">
        <f>CONCATENATE("Projected ",E1+1," carryover (est.)")</f>
        <v>Projected 1 carryover (est.)</v>
      </c>
      <c r="I75" s="448"/>
      <c r="J75" s="709"/>
    </row>
    <row r="76" spans="2:9" ht="15.75">
      <c r="B76" s="303" t="s">
        <v>644</v>
      </c>
      <c r="C76" s="392">
        <f>IF(C77*0.1&lt;C75,"Exceed 10% Rule","")</f>
      </c>
      <c r="D76" s="392">
        <f>IF(D77*0.1&lt;D75,"Exceed 10% Rule","")</f>
      </c>
      <c r="E76" s="330">
        <f>IF(E77*0.1&lt;E75,"Exceed 10% Rule","")</f>
      </c>
      <c r="G76" s="3"/>
      <c r="H76" s="3"/>
      <c r="I76" s="3"/>
    </row>
    <row r="77" spans="2:10" ht="15.75">
      <c r="B77" s="321" t="s">
        <v>280</v>
      </c>
      <c r="C77" s="395">
        <f>SUM(C68:C75)</f>
        <v>0</v>
      </c>
      <c r="D77" s="395">
        <f>SUM(D68:D75)</f>
        <v>0</v>
      </c>
      <c r="E77" s="307">
        <f>SUM(E68:E75)</f>
        <v>0</v>
      </c>
      <c r="G77" s="993" t="s">
        <v>867</v>
      </c>
      <c r="H77" s="994"/>
      <c r="I77" s="994"/>
      <c r="J77" s="995"/>
    </row>
    <row r="78" spans="2:10" ht="15.75">
      <c r="B78" s="137" t="s">
        <v>48</v>
      </c>
      <c r="C78" s="393">
        <f>C66-C77</f>
        <v>0</v>
      </c>
      <c r="D78" s="393">
        <f>D66-D77</f>
        <v>0</v>
      </c>
      <c r="E78" s="318" t="s">
        <v>254</v>
      </c>
      <c r="G78" s="665"/>
      <c r="H78" s="666"/>
      <c r="I78" s="667"/>
      <c r="J78" s="668"/>
    </row>
    <row r="79" spans="2:10" ht="15.75">
      <c r="B79" s="195" t="str">
        <f>CONCATENATE("",E1-2,"/",E1-1,"/",E1," Budget Authority Amount:")</f>
        <v>-2/-1/0 Budget Authority Amount:</v>
      </c>
      <c r="C79" s="326">
        <f>inputOth!B85</f>
        <v>0</v>
      </c>
      <c r="D79" s="326">
        <f>inputPrYr!D27</f>
        <v>0</v>
      </c>
      <c r="E79" s="297">
        <f>E77</f>
        <v>0</v>
      </c>
      <c r="F79" s="319"/>
      <c r="G79" s="669" t="str">
        <f>summ!H23</f>
        <v>  </v>
      </c>
      <c r="H79" s="666" t="str">
        <f>CONCATENATE("",E1," Fund Mill Rate")</f>
        <v>0 Fund Mill Rate</v>
      </c>
      <c r="I79" s="667"/>
      <c r="J79" s="668"/>
    </row>
    <row r="80" spans="2:10" ht="15.75">
      <c r="B80" s="161"/>
      <c r="C80" s="984" t="s">
        <v>649</v>
      </c>
      <c r="D80" s="985"/>
      <c r="E80" s="95"/>
      <c r="F80" s="736">
        <f>IF(E77/0.95-E77&lt;E80,"Exceeds 5%","")</f>
      </c>
      <c r="G80" s="670" t="str">
        <f>summ!E23</f>
        <v>  </v>
      </c>
      <c r="H80" s="666" t="str">
        <f>CONCATENATE("",E1-1," Fund Mill Rate")</f>
        <v>-1 Fund Mill Rate</v>
      </c>
      <c r="I80" s="667"/>
      <c r="J80" s="668"/>
    </row>
    <row r="81" spans="2:10" ht="15.75">
      <c r="B81" s="500" t="str">
        <f>CONCATENATE(C97,"     ",D97)</f>
        <v>     </v>
      </c>
      <c r="C81" s="986" t="s">
        <v>650</v>
      </c>
      <c r="D81" s="987"/>
      <c r="E81" s="297">
        <f>E77+E80</f>
        <v>0</v>
      </c>
      <c r="G81" s="671">
        <f>summ!H56</f>
        <v>0</v>
      </c>
      <c r="H81" s="666" t="str">
        <f>CONCATENATE("Total ",E1," Mill Rate")</f>
        <v>Total 0 Mill Rate</v>
      </c>
      <c r="I81" s="667"/>
      <c r="J81" s="668"/>
    </row>
    <row r="82" spans="2:10" ht="15.75">
      <c r="B82" s="500" t="str">
        <f>CONCATENATE(C98,"     ",D98)</f>
        <v>     </v>
      </c>
      <c r="C82" s="309"/>
      <c r="D82" s="191" t="s">
        <v>281</v>
      </c>
      <c r="E82" s="106">
        <f>IF(E81-E66&gt;0,E81-E66,0)</f>
        <v>0</v>
      </c>
      <c r="G82" s="670">
        <f>summ!E56</f>
        <v>0</v>
      </c>
      <c r="H82" s="672" t="str">
        <f>CONCATENATE("Total ",E1-1," Mill Rate")</f>
        <v>Total -1 Mill Rate</v>
      </c>
      <c r="I82" s="673"/>
      <c r="J82" s="674"/>
    </row>
    <row r="83" spans="2:5" ht="15.75">
      <c r="B83" s="191"/>
      <c r="C83" s="452" t="s">
        <v>651</v>
      </c>
      <c r="D83" s="721">
        <f>inputOth!$E$66</f>
        <v>0</v>
      </c>
      <c r="E83" s="297">
        <f>ROUND(IF(D83&gt;0,(E82*D83),0),0)</f>
        <v>0</v>
      </c>
    </row>
    <row r="84" spans="2:10" ht="16.5" thickBot="1">
      <c r="B84" s="81"/>
      <c r="C84" s="982" t="str">
        <f>CONCATENATE("Amount of  ",$E$1-1," Ad Valorem Tax")</f>
        <v>Amount of  -1 Ad Valorem Tax</v>
      </c>
      <c r="D84" s="983"/>
      <c r="E84" s="322">
        <f>E82+E83</f>
        <v>0</v>
      </c>
      <c r="G84" s="881" t="s">
        <v>1036</v>
      </c>
      <c r="H84" s="882"/>
      <c r="I84" s="884"/>
      <c r="J84" s="883" t="str">
        <f>cert!F57</f>
        <v>No</v>
      </c>
    </row>
    <row r="85" spans="2:10" ht="16.5" thickTop="1">
      <c r="B85" s="81"/>
      <c r="C85" s="397"/>
      <c r="D85" s="81"/>
      <c r="E85" s="81"/>
      <c r="G85" s="874" t="str">
        <f>CONCATENATE("Computed ",E1," tax levy limit amount")</f>
        <v>Computed 0 tax levy limit amount</v>
      </c>
      <c r="H85" s="873"/>
      <c r="I85" s="873"/>
      <c r="J85" s="870">
        <f>computation!J47</f>
        <v>0</v>
      </c>
    </row>
    <row r="86" spans="2:10" ht="15.75">
      <c r="B86" s="161" t="s">
        <v>283</v>
      </c>
      <c r="C86" s="839"/>
      <c r="D86" s="81"/>
      <c r="E86" s="81"/>
      <c r="G86" s="876" t="str">
        <f>CONCATENATE("Total ",E1," tax levy amount")</f>
        <v>Total 0 tax levy amount</v>
      </c>
      <c r="H86" s="652"/>
      <c r="I86" s="652"/>
      <c r="J86" s="869">
        <f>summ!G56</f>
        <v>0</v>
      </c>
    </row>
    <row r="87" ht="15.75">
      <c r="B87" s="65"/>
    </row>
    <row r="95" spans="3:4" ht="15.75" hidden="1">
      <c r="C95" s="77">
        <f>IF(C35&gt;C37,"See Tab A","")</f>
      </c>
      <c r="D95" s="77">
        <f>IF(D35&gt;D37,"See Tab C","")</f>
      </c>
    </row>
    <row r="96" spans="3:4" ht="15.75" hidden="1">
      <c r="C96" s="77">
        <f>IF(C36&lt;0,"See Tab B","")</f>
      </c>
      <c r="D96" s="77">
        <f>IF(D36&lt;0,"See Tab D","")</f>
      </c>
    </row>
    <row r="97" spans="3:4" ht="15.75" hidden="1">
      <c r="C97" s="77">
        <f>IF(C77&gt;C79,"See Tab A","")</f>
      </c>
      <c r="D97" s="77">
        <f>IF(D77&gt;D79,"See Tab C","")</f>
      </c>
    </row>
    <row r="98" spans="3:4" ht="15.75" hidden="1">
      <c r="C98" s="77">
        <f>IF(C78&lt;0,"See Tab B","")</f>
      </c>
      <c r="D98" s="77">
        <f>IF(D78&lt;0,"See Tab D","")</f>
      </c>
    </row>
  </sheetData>
  <sheetProtection sheet="1"/>
  <mergeCells count="13">
    <mergeCell ref="G18:J18"/>
    <mergeCell ref="G25:J25"/>
    <mergeCell ref="G35:J35"/>
    <mergeCell ref="G60:J60"/>
    <mergeCell ref="G67:J67"/>
    <mergeCell ref="G77:J77"/>
    <mergeCell ref="C38:D38"/>
    <mergeCell ref="C39:D39"/>
    <mergeCell ref="C42:D42"/>
    <mergeCell ref="C84:D84"/>
    <mergeCell ref="C43:D43"/>
    <mergeCell ref="C80:D80"/>
    <mergeCell ref="C81:D81"/>
  </mergeCells>
  <conditionalFormatting sqref="E75">
    <cfRule type="cellIs" priority="3" dxfId="326" operator="greaterThan" stopIfTrue="1">
      <formula>$E$77*0.1</formula>
    </cfRule>
  </conditionalFormatting>
  <conditionalFormatting sqref="E33">
    <cfRule type="cellIs" priority="4" dxfId="326" operator="greaterThan" stopIfTrue="1">
      <formula>$E$35*0.1</formula>
    </cfRule>
  </conditionalFormatting>
  <conditionalFormatting sqref="E38">
    <cfRule type="cellIs" priority="5" dxfId="326" operator="greaterThan" stopIfTrue="1">
      <formula>$E$35/0.95-$E$35</formula>
    </cfRule>
  </conditionalFormatting>
  <conditionalFormatting sqref="E80">
    <cfRule type="cellIs" priority="6" dxfId="326" operator="greaterThan" stopIfTrue="1">
      <formula>$E$77/0.95-$E$77</formula>
    </cfRule>
  </conditionalFormatting>
  <conditionalFormatting sqref="D75">
    <cfRule type="cellIs" priority="7" dxfId="1" operator="greaterThan" stopIfTrue="1">
      <formula>$D$77*0.1</formula>
    </cfRule>
  </conditionalFormatting>
  <conditionalFormatting sqref="C75">
    <cfRule type="cellIs" priority="8" dxfId="1" operator="greaterThan" stopIfTrue="1">
      <formula>$C$77*0.1</formula>
    </cfRule>
  </conditionalFormatting>
  <conditionalFormatting sqref="D77">
    <cfRule type="cellIs" priority="9" dxfId="1" operator="greaterThan" stopIfTrue="1">
      <formula>$D$79</formula>
    </cfRule>
  </conditionalFormatting>
  <conditionalFormatting sqref="C77">
    <cfRule type="cellIs" priority="10" dxfId="1" operator="greaterThan" stopIfTrue="1">
      <formula>$C$79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33">
    <cfRule type="cellIs" priority="14" dxfId="1" operator="greaterThan" stopIfTrue="1">
      <formula>$D$35*0.1</formula>
    </cfRule>
  </conditionalFormatting>
  <conditionalFormatting sqref="C33">
    <cfRule type="cellIs" priority="15" dxfId="1" operator="greaterThan" stopIfTrue="1">
      <formula>$C$35*0.1</formula>
    </cfRule>
  </conditionalFormatting>
  <conditionalFormatting sqref="D35">
    <cfRule type="cellIs" priority="16" dxfId="1" operator="greaterThan" stopIfTrue="1">
      <formula>$D$37</formula>
    </cfRule>
  </conditionalFormatting>
  <conditionalFormatting sqref="C35">
    <cfRule type="cellIs" priority="17" dxfId="1" operator="greaterThan" stopIfTrue="1">
      <formula>$C$37</formula>
    </cfRule>
  </conditionalFormatting>
  <conditionalFormatting sqref="D21">
    <cfRule type="cellIs" priority="18" dxfId="1" operator="greaterThan" stopIfTrue="1">
      <formula>$D$23*0.1</formula>
    </cfRule>
  </conditionalFormatting>
  <conditionalFormatting sqref="C21">
    <cfRule type="cellIs" priority="19" dxfId="1" operator="greaterThan" stopIfTrue="1">
      <formula>$C$23*0.1</formula>
    </cfRule>
  </conditionalFormatting>
  <conditionalFormatting sqref="D78 D36">
    <cfRule type="cellIs" priority="2" dxfId="0" operator="lessThan" stopIfTrue="1">
      <formula>0</formula>
    </cfRule>
  </conditionalFormatting>
  <conditionalFormatting sqref="E21">
    <cfRule type="cellIs" priority="59" dxfId="326" operator="greaterThan" stopIfTrue="1">
      <formula>$E$23*0.1+$E$42</formula>
    </cfRule>
  </conditionalFormatting>
  <conditionalFormatting sqref="E63">
    <cfRule type="cellIs" priority="60" dxfId="326" operator="greaterThan" stopIfTrue="1">
      <formula>$E$65*0.1+$E$84</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32" sqref="Q132"/>
    </sheetView>
  </sheetViews>
  <sheetFormatPr defaultColWidth="8.796875" defaultRowHeight="15"/>
  <cols>
    <col min="1" max="1" width="2.3984375" style="77" customWidth="1"/>
    <col min="2" max="2" width="31.09765625" style="77" customWidth="1"/>
    <col min="3" max="4" width="15.796875" style="77" customWidth="1"/>
    <col min="5" max="5" width="16.3984375" style="77" customWidth="1"/>
    <col min="6" max="6" width="8.09765625" style="77" customWidth="1"/>
    <col min="7" max="7" width="10.19921875" style="77" customWidth="1"/>
    <col min="8" max="8" width="8.8984375" style="77" customWidth="1"/>
    <col min="9" max="9" width="5.398437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293" t="s">
        <v>6</v>
      </c>
      <c r="C3" s="211"/>
      <c r="D3" s="211"/>
      <c r="E3" s="317"/>
    </row>
    <row r="4" spans="2:5" ht="15.75">
      <c r="B4" s="84" t="s">
        <v>264</v>
      </c>
      <c r="C4" s="573" t="s">
        <v>781</v>
      </c>
      <c r="D4" s="574" t="s">
        <v>782</v>
      </c>
      <c r="E4" s="168" t="s">
        <v>783</v>
      </c>
    </row>
    <row r="5" spans="2:5" ht="15.75">
      <c r="B5" s="520">
        <f>inputPrYr!B28</f>
        <v>0</v>
      </c>
      <c r="C5" s="399" t="str">
        <f>CONCATENATE("Actual for ",E1-2,"")</f>
        <v>Actual for -2</v>
      </c>
      <c r="D5" s="399" t="str">
        <f>CONCATENATE("Estimate for ",E1-1,"")</f>
        <v>Estimate for -1</v>
      </c>
      <c r="E5" s="218" t="str">
        <f>CONCATENATE("Year for ",E1,"")</f>
        <v>Year for 0</v>
      </c>
    </row>
    <row r="6" spans="2:5" ht="15.75">
      <c r="B6" s="311" t="s">
        <v>47</v>
      </c>
      <c r="C6" s="391"/>
      <c r="D6" s="396">
        <f>C36</f>
        <v>0</v>
      </c>
      <c r="E6" s="297">
        <f>D36</f>
        <v>0</v>
      </c>
    </row>
    <row r="7" spans="2:5" ht="15.75">
      <c r="B7" s="312" t="s">
        <v>49</v>
      </c>
      <c r="C7" s="396"/>
      <c r="D7" s="396"/>
      <c r="E7" s="297"/>
    </row>
    <row r="8" spans="2:5" ht="15.75">
      <c r="B8" s="137" t="s">
        <v>265</v>
      </c>
      <c r="C8" s="391"/>
      <c r="D8" s="396">
        <f>IF(inputPrYr!H21&gt;0,inputPrYr!G28,inputPrYr!E28)</f>
        <v>0</v>
      </c>
      <c r="E8" s="318" t="s">
        <v>254</v>
      </c>
    </row>
    <row r="9" spans="2:5" ht="15.75">
      <c r="B9" s="137" t="s">
        <v>266</v>
      </c>
      <c r="C9" s="391"/>
      <c r="D9" s="391"/>
      <c r="E9" s="95"/>
    </row>
    <row r="10" spans="2:5" ht="15.75">
      <c r="B10" s="137" t="s">
        <v>267</v>
      </c>
      <c r="C10" s="391"/>
      <c r="D10" s="391"/>
      <c r="E10" s="297" t="str">
        <f>mvalloc!D13</f>
        <v>  </v>
      </c>
    </row>
    <row r="11" spans="2:5" ht="15.75">
      <c r="B11" s="137" t="s">
        <v>268</v>
      </c>
      <c r="C11" s="391"/>
      <c r="D11" s="391"/>
      <c r="E11" s="297" t="str">
        <f>mvalloc!E13</f>
        <v> </v>
      </c>
    </row>
    <row r="12" spans="2:5" ht="15.75">
      <c r="B12" s="182" t="s">
        <v>37</v>
      </c>
      <c r="C12" s="391"/>
      <c r="D12" s="391"/>
      <c r="E12" s="297" t="str">
        <f>mvalloc!F13</f>
        <v> </v>
      </c>
    </row>
    <row r="13" spans="2:5" ht="15.75">
      <c r="B13" s="327" t="s">
        <v>1023</v>
      </c>
      <c r="C13" s="391"/>
      <c r="D13" s="391"/>
      <c r="E13" s="297" t="str">
        <f>mvalloc!G13</f>
        <v> </v>
      </c>
    </row>
    <row r="14" spans="2:5" ht="15.75">
      <c r="B14" s="327" t="s">
        <v>1024</v>
      </c>
      <c r="C14" s="391"/>
      <c r="D14" s="391"/>
      <c r="E14" s="297" t="str">
        <f>mvalloc!H13</f>
        <v> </v>
      </c>
    </row>
    <row r="15" spans="2:5" ht="15.75">
      <c r="B15" s="299"/>
      <c r="C15" s="391"/>
      <c r="D15" s="391"/>
      <c r="E15" s="95"/>
    </row>
    <row r="16" spans="2:5" ht="15.75">
      <c r="B16" s="299"/>
      <c r="C16" s="391"/>
      <c r="D16" s="391"/>
      <c r="E16" s="95"/>
    </row>
    <row r="17" spans="2:5" ht="15.75">
      <c r="B17" s="299"/>
      <c r="C17" s="391"/>
      <c r="D17" s="391"/>
      <c r="E17" s="95"/>
    </row>
    <row r="18" spans="2:10" ht="15.75">
      <c r="B18" s="299"/>
      <c r="C18" s="391"/>
      <c r="D18" s="391"/>
      <c r="E18" s="95"/>
      <c r="G18" s="996" t="str">
        <f>CONCATENATE("Desired Carryover Into ",E1+1,"")</f>
        <v>Desired Carryover Into 1</v>
      </c>
      <c r="H18" s="991"/>
      <c r="I18" s="991"/>
      <c r="J18" s="992"/>
    </row>
    <row r="19" spans="2:10" ht="15.75">
      <c r="B19" s="313" t="s">
        <v>272</v>
      </c>
      <c r="C19" s="391"/>
      <c r="D19" s="391"/>
      <c r="E19" s="95"/>
      <c r="G19" s="678"/>
      <c r="H19" s="450"/>
      <c r="I19" s="679"/>
      <c r="J19" s="680"/>
    </row>
    <row r="20" spans="2:10" ht="15.75">
      <c r="B20" s="303" t="s">
        <v>162</v>
      </c>
      <c r="C20" s="391"/>
      <c r="D20" s="391"/>
      <c r="E20" s="333">
        <f>nhood!E11*-1</f>
        <v>0</v>
      </c>
      <c r="G20" s="681" t="s">
        <v>652</v>
      </c>
      <c r="H20" s="679"/>
      <c r="I20" s="679"/>
      <c r="J20" s="682">
        <v>0</v>
      </c>
    </row>
    <row r="21" spans="2:10" ht="15.75">
      <c r="B21" s="303" t="s">
        <v>163</v>
      </c>
      <c r="C21" s="391"/>
      <c r="D21" s="391"/>
      <c r="E21" s="95"/>
      <c r="G21" s="678" t="s">
        <v>653</v>
      </c>
      <c r="H21" s="450"/>
      <c r="I21" s="450"/>
      <c r="J21" s="699">
        <f>IF(J20=0,"",ROUND((J20+E42-G33)/inputOth!B14*1000,3)-G38)</f>
      </c>
    </row>
    <row r="22" spans="2:10" ht="15.75">
      <c r="B22" s="303" t="s">
        <v>165</v>
      </c>
      <c r="C22" s="392">
        <f>IF(C23*0.1&lt;C21,"Exceed 10% Rule","")</f>
      </c>
      <c r="D22" s="392">
        <f>IF(D23*0.1&lt;D21,"Exceed 10% Rule","")</f>
      </c>
      <c r="E22" s="330">
        <f>IF(E23*0.1+E42&lt;E21,"Exceed 10% Rule","")</f>
      </c>
      <c r="G22" s="684" t="str">
        <f>CONCATENATE("",E1," Tot Exp/Non-Appr Must Be:")</f>
        <v>0 Tot Exp/Non-Appr Must Be:</v>
      </c>
      <c r="H22" s="685"/>
      <c r="I22" s="686"/>
      <c r="J22" s="687">
        <f>IF(J20&gt;0,IF(E39&lt;E24,IF(J20=G33,E39,((J20-G33)*(1-D41))+E24),E39+(J20-G33)),0)</f>
        <v>0</v>
      </c>
    </row>
    <row r="23" spans="2:10" ht="15.75">
      <c r="B23" s="305" t="s">
        <v>273</v>
      </c>
      <c r="C23" s="395">
        <f>SUM(C8:C21)</f>
        <v>0</v>
      </c>
      <c r="D23" s="395">
        <f>SUM(D8:D21)</f>
        <v>0</v>
      </c>
      <c r="E23" s="307">
        <f>SUM(E8:E21)</f>
        <v>0</v>
      </c>
      <c r="G23" s="651" t="s">
        <v>866</v>
      </c>
      <c r="H23" s="688"/>
      <c r="I23" s="688"/>
      <c r="J23" s="653">
        <f>IF(J20&gt;0,J22-E39,0)</f>
        <v>0</v>
      </c>
    </row>
    <row r="24" spans="2:10" ht="15.75">
      <c r="B24" s="305" t="s">
        <v>274</v>
      </c>
      <c r="C24" s="395">
        <f>C6+C23</f>
        <v>0</v>
      </c>
      <c r="D24" s="395">
        <f>D6+D23</f>
        <v>0</v>
      </c>
      <c r="E24" s="307">
        <f>E6+E23</f>
        <v>0</v>
      </c>
      <c r="F24" s="320"/>
      <c r="J24" s="3"/>
    </row>
    <row r="25" spans="2:10" ht="15.75">
      <c r="B25" s="137" t="s">
        <v>276</v>
      </c>
      <c r="C25" s="303"/>
      <c r="D25" s="303"/>
      <c r="E25" s="94"/>
      <c r="G25" s="996" t="str">
        <f>CONCATENATE("Projected Carryover Into ",E1+1,"")</f>
        <v>Projected Carryover Into 1</v>
      </c>
      <c r="H25" s="998"/>
      <c r="I25" s="998"/>
      <c r="J25" s="1000"/>
    </row>
    <row r="26" spans="2:10" ht="15.75">
      <c r="B26" s="301"/>
      <c r="C26" s="391"/>
      <c r="D26" s="391"/>
      <c r="E26" s="104"/>
      <c r="G26" s="678"/>
      <c r="H26" s="679"/>
      <c r="I26" s="679"/>
      <c r="J26" s="700"/>
    </row>
    <row r="27" spans="2:10" ht="15.75">
      <c r="B27" s="299"/>
      <c r="C27" s="391"/>
      <c r="D27" s="391"/>
      <c r="E27" s="95"/>
      <c r="G27" s="701">
        <f>D36</f>
        <v>0</v>
      </c>
      <c r="H27" s="666" t="str">
        <f>CONCATENATE("",E1-1," Ending Cash Balance (est.)")</f>
        <v>-1 Ending Cash Balance (est.)</v>
      </c>
      <c r="I27" s="702"/>
      <c r="J27" s="700"/>
    </row>
    <row r="28" spans="2:10" ht="15.75">
      <c r="B28" s="299"/>
      <c r="C28" s="391"/>
      <c r="D28" s="391"/>
      <c r="E28" s="95"/>
      <c r="G28" s="701">
        <f>E23</f>
        <v>0</v>
      </c>
      <c r="H28" s="679" t="str">
        <f>CONCATENATE("",E1," Non-AV Receipts (est.)")</f>
        <v>0 Non-AV Receipts (est.)</v>
      </c>
      <c r="I28" s="702"/>
      <c r="J28" s="700"/>
    </row>
    <row r="29" spans="2:11" ht="15.75">
      <c r="B29" s="299"/>
      <c r="C29" s="391"/>
      <c r="D29" s="391"/>
      <c r="E29" s="95"/>
      <c r="G29" s="703">
        <f>IF(E41&gt;0,E40,E42)</f>
        <v>0</v>
      </c>
      <c r="H29" s="679" t="str">
        <f>CONCATENATE("",E1," Ad Valorem Tax (est.)")</f>
        <v>0 Ad Valorem Tax (est.)</v>
      </c>
      <c r="I29" s="702"/>
      <c r="J29" s="704"/>
      <c r="K29" s="694">
        <f>IF(G29=E42,"","Note: Does not include Delinquent Taxes")</f>
      </c>
    </row>
    <row r="30" spans="2:10" ht="15.75">
      <c r="B30" s="299"/>
      <c r="C30" s="391"/>
      <c r="D30" s="391"/>
      <c r="E30" s="95"/>
      <c r="G30" s="701">
        <f>SUM(G27:G29)</f>
        <v>0</v>
      </c>
      <c r="H30" s="679" t="str">
        <f>CONCATENATE("Total ",E1," Resources Available")</f>
        <v>Total 0 Resources Available</v>
      </c>
      <c r="I30" s="702"/>
      <c r="J30" s="700"/>
    </row>
    <row r="31" spans="2:10" ht="15.75">
      <c r="B31" s="299"/>
      <c r="C31" s="391"/>
      <c r="D31" s="391"/>
      <c r="E31" s="95"/>
      <c r="G31" s="705"/>
      <c r="H31" s="679"/>
      <c r="I31" s="679"/>
      <c r="J31" s="700"/>
    </row>
    <row r="32" spans="2:10" ht="15.75">
      <c r="B32" s="303" t="str">
        <f>CONCATENATE("Cash Forward (",E1," column)")</f>
        <v>Cash Forward (0 column)</v>
      </c>
      <c r="C32" s="391"/>
      <c r="D32" s="391"/>
      <c r="E32" s="95"/>
      <c r="G32" s="703">
        <f>ROUND(C35*0.05+C35,0)</f>
        <v>0</v>
      </c>
      <c r="H32" s="679" t="str">
        <f>CONCATENATE("Less ",E1-2," Expenditures + 5%")</f>
        <v>Less -2 Expenditures + 5%</v>
      </c>
      <c r="I32" s="702"/>
      <c r="J32" s="700"/>
    </row>
    <row r="33" spans="2:10" ht="15.75">
      <c r="B33" s="303" t="s">
        <v>163</v>
      </c>
      <c r="C33" s="391"/>
      <c r="D33" s="391"/>
      <c r="E33" s="95"/>
      <c r="G33" s="706">
        <f>G30-G32</f>
        <v>0</v>
      </c>
      <c r="H33" s="707" t="str">
        <f>CONCATENATE("Projected ",E1+1," carryover (est.)")</f>
        <v>Projected 1 carryover (est.)</v>
      </c>
      <c r="I33" s="708"/>
      <c r="J33" s="709"/>
    </row>
    <row r="34" spans="2:10" ht="15.75">
      <c r="B34" s="303" t="s">
        <v>164</v>
      </c>
      <c r="C34" s="392">
        <f>IF(C35*0.1&lt;C33,"Exceed 10% Rule","")</f>
      </c>
      <c r="D34" s="392">
        <f>IF(D35*0.1&lt;D33,"Exceed 10% Rule","")</f>
      </c>
      <c r="E34" s="330">
        <f>IF(E35*0.1&lt;E33,"Exceed 10% Rule","")</f>
      </c>
      <c r="G34" s="3"/>
      <c r="H34" s="3"/>
      <c r="I34" s="3"/>
      <c r="J34" s="3"/>
    </row>
    <row r="35" spans="2:10" ht="15.75">
      <c r="B35" s="305" t="s">
        <v>280</v>
      </c>
      <c r="C35" s="395">
        <f>SUM(C26:C33)</f>
        <v>0</v>
      </c>
      <c r="D35" s="395">
        <f>SUM(D26:D33)</f>
        <v>0</v>
      </c>
      <c r="E35" s="307">
        <f>SUM(E26:E33)</f>
        <v>0</v>
      </c>
      <c r="G35" s="993" t="s">
        <v>867</v>
      </c>
      <c r="H35" s="994"/>
      <c r="I35" s="994"/>
      <c r="J35" s="995"/>
    </row>
    <row r="36" spans="2:10" ht="15.75">
      <c r="B36" s="137" t="s">
        <v>48</v>
      </c>
      <c r="C36" s="393">
        <f>C24-C35</f>
        <v>0</v>
      </c>
      <c r="D36" s="393">
        <f>D24-D35</f>
        <v>0</v>
      </c>
      <c r="E36" s="318" t="s">
        <v>254</v>
      </c>
      <c r="G36" s="665"/>
      <c r="H36" s="666"/>
      <c r="I36" s="667"/>
      <c r="J36" s="668"/>
    </row>
    <row r="37" spans="2:10" ht="15.75">
      <c r="B37" s="195" t="str">
        <f>CONCATENATE("",E1-2,"/",E1-1,"/",E1," Budget Authority Amount:")</f>
        <v>-2/-1/0 Budget Authority Amount:</v>
      </c>
      <c r="C37" s="326">
        <f>inputOth!B86</f>
        <v>0</v>
      </c>
      <c r="D37" s="326">
        <f>inputPrYr!D28</f>
        <v>0</v>
      </c>
      <c r="E37" s="297">
        <f>E35</f>
        <v>0</v>
      </c>
      <c r="F37" s="319"/>
      <c r="G37" s="669" t="str">
        <f>summ!H24</f>
        <v>  </v>
      </c>
      <c r="H37" s="666" t="str">
        <f>CONCATENATE("",E1," Fund Mill Rate")</f>
        <v>0 Fund Mill Rate</v>
      </c>
      <c r="I37" s="667"/>
      <c r="J37" s="668"/>
    </row>
    <row r="38" spans="2:10" ht="15.75">
      <c r="B38" s="161"/>
      <c r="C38" s="984" t="s">
        <v>649</v>
      </c>
      <c r="D38" s="985"/>
      <c r="E38" s="95"/>
      <c r="F38" s="736">
        <f>IF(E35/0.95-E35&lt;E38,"Exceeds 5%","")</f>
      </c>
      <c r="G38" s="670" t="str">
        <f>summ!E24</f>
        <v>  </v>
      </c>
      <c r="H38" s="666" t="str">
        <f>CONCATENATE("",E1-1," Fund Mill Rate")</f>
        <v>-1 Fund Mill Rate</v>
      </c>
      <c r="I38" s="667"/>
      <c r="J38" s="668"/>
    </row>
    <row r="39" spans="2:10" ht="15.75">
      <c r="B39" s="500" t="str">
        <f>CONCATENATE(C94,"     ",D94)</f>
        <v>     </v>
      </c>
      <c r="C39" s="986" t="s">
        <v>650</v>
      </c>
      <c r="D39" s="987"/>
      <c r="E39" s="297">
        <f>E35+E38</f>
        <v>0</v>
      </c>
      <c r="G39" s="671">
        <f>summ!H56</f>
        <v>0</v>
      </c>
      <c r="H39" s="666" t="str">
        <f>CONCATENATE("Total ",E1," Mill Rate")</f>
        <v>Total 0 Mill Rate</v>
      </c>
      <c r="I39" s="667"/>
      <c r="J39" s="668"/>
    </row>
    <row r="40" spans="2:10" ht="15.75">
      <c r="B40" s="500" t="str">
        <f>CONCATENATE(C95,"     ",D95)</f>
        <v>     </v>
      </c>
      <c r="C40" s="309"/>
      <c r="D40" s="191" t="s">
        <v>281</v>
      </c>
      <c r="E40" s="106">
        <f>IF(E39-E24&gt;0,E39-E24,0)</f>
        <v>0</v>
      </c>
      <c r="G40" s="670">
        <f>summ!E56</f>
        <v>0</v>
      </c>
      <c r="H40" s="672" t="str">
        <f>CONCATENATE("Total ",E1-1," Mill Rate")</f>
        <v>Total -1 Mill Rate</v>
      </c>
      <c r="I40" s="673"/>
      <c r="J40" s="674"/>
    </row>
    <row r="41" spans="2:5" ht="15.75">
      <c r="B41" s="191"/>
      <c r="C41" s="452" t="s">
        <v>651</v>
      </c>
      <c r="D41" s="721">
        <f>inputOth!$E$66</f>
        <v>0</v>
      </c>
      <c r="E41" s="297">
        <f>ROUND(IF(D41&gt;0,(E40*D41),0),0)</f>
        <v>0</v>
      </c>
    </row>
    <row r="42" spans="2:10" ht="16.5" thickBot="1">
      <c r="B42" s="191"/>
      <c r="C42" s="982" t="str">
        <f>CONCATENATE("Amount of  ",$E$1-1," Ad Valorem Tax")</f>
        <v>Amount of  -1 Ad Valorem Tax</v>
      </c>
      <c r="D42" s="983"/>
      <c r="E42" s="322">
        <f>E40+E41</f>
        <v>0</v>
      </c>
      <c r="G42" s="881" t="s">
        <v>1036</v>
      </c>
      <c r="H42" s="882"/>
      <c r="I42" s="884"/>
      <c r="J42" s="883" t="str">
        <f>cert!F57</f>
        <v>No</v>
      </c>
    </row>
    <row r="43" spans="2:10" ht="16.5" thickTop="1">
      <c r="B43" s="81"/>
      <c r="C43" s="982"/>
      <c r="D43" s="1001"/>
      <c r="E43" s="102"/>
      <c r="G43" s="874" t="str">
        <f>CONCATENATE("Computed ",E1," tax levy limit amount")</f>
        <v>Computed 0 tax levy limit amount</v>
      </c>
      <c r="H43" s="885"/>
      <c r="I43" s="885"/>
      <c r="J43" s="870">
        <f>computation!J47</f>
        <v>0</v>
      </c>
    </row>
    <row r="44" spans="2:10" ht="15.75">
      <c r="B44" s="84"/>
      <c r="C44" s="241"/>
      <c r="D44" s="241"/>
      <c r="E44" s="241"/>
      <c r="G44" s="876" t="str">
        <f>CONCATENATE("Total ",E1," tax levy amount")</f>
        <v>Total 0 tax levy amount</v>
      </c>
      <c r="H44" s="886"/>
      <c r="I44" s="886"/>
      <c r="J44" s="869">
        <f>summ!G56</f>
        <v>0</v>
      </c>
    </row>
    <row r="45" spans="2:5" ht="15.75">
      <c r="B45" s="84" t="s">
        <v>264</v>
      </c>
      <c r="C45" s="573" t="s">
        <v>781</v>
      </c>
      <c r="D45" s="574" t="s">
        <v>784</v>
      </c>
      <c r="E45" s="168" t="s">
        <v>783</v>
      </c>
    </row>
    <row r="46" spans="2:5" ht="15.75">
      <c r="B46" s="519">
        <f>inputPrYr!B29</f>
        <v>0</v>
      </c>
      <c r="C46" s="399" t="str">
        <f>C5</f>
        <v>Actual for -2</v>
      </c>
      <c r="D46" s="399" t="str">
        <f>D5</f>
        <v>Estimate for -1</v>
      </c>
      <c r="E46" s="218" t="str">
        <f>E5</f>
        <v>Year for 0</v>
      </c>
    </row>
    <row r="47" spans="2:5" ht="15.75">
      <c r="B47" s="311" t="s">
        <v>47</v>
      </c>
      <c r="C47" s="391"/>
      <c r="D47" s="396">
        <f>C78</f>
        <v>0</v>
      </c>
      <c r="E47" s="297">
        <f>D78</f>
        <v>0</v>
      </c>
    </row>
    <row r="48" spans="2:5" ht="15.75">
      <c r="B48" s="311" t="s">
        <v>49</v>
      </c>
      <c r="C48" s="182"/>
      <c r="D48" s="182"/>
      <c r="E48" s="109"/>
    </row>
    <row r="49" spans="2:5" ht="15.75">
      <c r="B49" s="137" t="s">
        <v>265</v>
      </c>
      <c r="C49" s="391"/>
      <c r="D49" s="396">
        <f>IF(inputPrYr!H21&gt;0,inputPrYr!G29,inputPrYr!E29)</f>
        <v>0</v>
      </c>
      <c r="E49" s="318" t="s">
        <v>254</v>
      </c>
    </row>
    <row r="50" spans="2:5" ht="15.75">
      <c r="B50" s="137" t="s">
        <v>266</v>
      </c>
      <c r="C50" s="391"/>
      <c r="D50" s="391"/>
      <c r="E50" s="95"/>
    </row>
    <row r="51" spans="2:5" ht="15.75">
      <c r="B51" s="137" t="s">
        <v>267</v>
      </c>
      <c r="C51" s="391"/>
      <c r="D51" s="391"/>
      <c r="E51" s="297" t="str">
        <f>mvalloc!D14</f>
        <v>  </v>
      </c>
    </row>
    <row r="52" spans="2:5" ht="15.75">
      <c r="B52" s="137" t="s">
        <v>268</v>
      </c>
      <c r="C52" s="391"/>
      <c r="D52" s="391"/>
      <c r="E52" s="297" t="str">
        <f>mvalloc!E14</f>
        <v> </v>
      </c>
    </row>
    <row r="53" spans="2:5" ht="15.75">
      <c r="B53" s="182" t="s">
        <v>37</v>
      </c>
      <c r="C53" s="391"/>
      <c r="D53" s="391"/>
      <c r="E53" s="297" t="str">
        <f>mvalloc!F14</f>
        <v> </v>
      </c>
    </row>
    <row r="54" spans="2:5" ht="15.75">
      <c r="B54" s="327" t="s">
        <v>1023</v>
      </c>
      <c r="C54" s="391"/>
      <c r="D54" s="391"/>
      <c r="E54" s="297" t="str">
        <f>mvalloc!G14</f>
        <v> </v>
      </c>
    </row>
    <row r="55" spans="2:5" ht="15.75">
      <c r="B55" s="327" t="s">
        <v>1024</v>
      </c>
      <c r="C55" s="391"/>
      <c r="D55" s="391"/>
      <c r="E55" s="297" t="str">
        <f>mvalloc!H14</f>
        <v> </v>
      </c>
    </row>
    <row r="56" spans="2:5" ht="15.75">
      <c r="B56" s="299"/>
      <c r="C56" s="391"/>
      <c r="D56" s="391"/>
      <c r="E56" s="95"/>
    </row>
    <row r="57" spans="2:5" ht="15.75">
      <c r="B57" s="299"/>
      <c r="C57" s="391"/>
      <c r="D57" s="391"/>
      <c r="E57" s="95"/>
    </row>
    <row r="58" spans="2:5" ht="15.75">
      <c r="B58" s="299"/>
      <c r="C58" s="391"/>
      <c r="D58" s="391"/>
      <c r="E58" s="95"/>
    </row>
    <row r="59" spans="2:5" ht="15.75">
      <c r="B59" s="299"/>
      <c r="C59" s="391"/>
      <c r="D59" s="391"/>
      <c r="E59" s="95"/>
    </row>
    <row r="60" spans="2:10" ht="15.75">
      <c r="B60" s="299"/>
      <c r="C60" s="391"/>
      <c r="D60" s="391"/>
      <c r="E60" s="95"/>
      <c r="G60" s="996" t="str">
        <f>CONCATENATE("Desired Carryover Into ",E1+1,"")</f>
        <v>Desired Carryover Into 1</v>
      </c>
      <c r="H60" s="991"/>
      <c r="I60" s="991"/>
      <c r="J60" s="992"/>
    </row>
    <row r="61" spans="2:10" ht="15.75">
      <c r="B61" s="313" t="s">
        <v>272</v>
      </c>
      <c r="C61" s="391"/>
      <c r="D61" s="391"/>
      <c r="E61" s="95"/>
      <c r="G61" s="678"/>
      <c r="H61" s="450"/>
      <c r="I61" s="679"/>
      <c r="J61" s="680"/>
    </row>
    <row r="62" spans="2:10" ht="15.75">
      <c r="B62" s="303" t="s">
        <v>162</v>
      </c>
      <c r="C62" s="391"/>
      <c r="D62" s="391"/>
      <c r="E62" s="333">
        <f>nhood!E12*-1</f>
        <v>0</v>
      </c>
      <c r="G62" s="681" t="s">
        <v>652</v>
      </c>
      <c r="H62" s="679"/>
      <c r="I62" s="679"/>
      <c r="J62" s="682">
        <v>0</v>
      </c>
    </row>
    <row r="63" spans="2:10" ht="15.75">
      <c r="B63" s="303" t="s">
        <v>163</v>
      </c>
      <c r="C63" s="391"/>
      <c r="D63" s="391"/>
      <c r="E63" s="95"/>
      <c r="G63" s="678" t="s">
        <v>653</v>
      </c>
      <c r="H63" s="450"/>
      <c r="I63" s="450"/>
      <c r="J63" s="699">
        <f>IF(J62=0,"",ROUND((J62+E84-G75)/inputOth!B14*1000,3)-G80)</f>
      </c>
    </row>
    <row r="64" spans="2:10" ht="15.75">
      <c r="B64" s="303" t="s">
        <v>165</v>
      </c>
      <c r="C64" s="392">
        <f>IF(C65*0.1&lt;C63,"Exceed 10% Rule","")</f>
      </c>
      <c r="D64" s="392">
        <f>IF(D65*0.1&lt;D63,"Exceed 10% Rule","")</f>
      </c>
      <c r="E64" s="330">
        <f>IF(E65*0.1+E84&lt;E63,"Exceed 10% Rule","")</f>
      </c>
      <c r="G64" s="684" t="str">
        <f>CONCATENATE("",E1," Tot Exp/Non-Appr Must Be:")</f>
        <v>0 Tot Exp/Non-Appr Must Be:</v>
      </c>
      <c r="H64" s="685"/>
      <c r="I64" s="686"/>
      <c r="J64" s="687">
        <f>IF(J62&gt;0,IF(E81&lt;E66,IF(J62=G75,E81,((J62-G75)*(1-D83))+E66),E81+(J62-G75)),0)</f>
        <v>0</v>
      </c>
    </row>
    <row r="65" spans="2:10" ht="15.75">
      <c r="B65" s="305" t="s">
        <v>273</v>
      </c>
      <c r="C65" s="395">
        <f>SUM(C49:C63)</f>
        <v>0</v>
      </c>
      <c r="D65" s="395">
        <f>SUM(D49:D63)</f>
        <v>0</v>
      </c>
      <c r="E65" s="307">
        <f>SUM(E50:E63)</f>
        <v>0</v>
      </c>
      <c r="G65" s="651" t="s">
        <v>866</v>
      </c>
      <c r="H65" s="688"/>
      <c r="I65" s="688"/>
      <c r="J65" s="653">
        <f>IF(J62&gt;0,J64-E81,0)</f>
        <v>0</v>
      </c>
    </row>
    <row r="66" spans="2:10" ht="15.75">
      <c r="B66" s="305" t="s">
        <v>274</v>
      </c>
      <c r="C66" s="395">
        <f>C47+C65</f>
        <v>0</v>
      </c>
      <c r="D66" s="395">
        <f>D47+D65</f>
        <v>0</v>
      </c>
      <c r="E66" s="307">
        <f>E47+E65</f>
        <v>0</v>
      </c>
      <c r="J66" s="3"/>
    </row>
    <row r="67" spans="2:10" ht="15.75">
      <c r="B67" s="137" t="s">
        <v>276</v>
      </c>
      <c r="C67" s="303"/>
      <c r="D67" s="303"/>
      <c r="E67" s="94"/>
      <c r="G67" s="996" t="str">
        <f>CONCATENATE("Projected Carryover Into ",E1+1,"")</f>
        <v>Projected Carryover Into 1</v>
      </c>
      <c r="H67" s="999"/>
      <c r="I67" s="999"/>
      <c r="J67" s="1000"/>
    </row>
    <row r="68" spans="2:10" ht="15.75">
      <c r="B68" s="299"/>
      <c r="C68" s="391"/>
      <c r="D68" s="391"/>
      <c r="E68" s="95"/>
      <c r="G68" s="451"/>
      <c r="H68" s="450"/>
      <c r="I68" s="450"/>
      <c r="J68" s="449"/>
    </row>
    <row r="69" spans="2:10" ht="15.75">
      <c r="B69" s="299"/>
      <c r="C69" s="391"/>
      <c r="D69" s="391"/>
      <c r="E69" s="95"/>
      <c r="G69" s="701">
        <f>D78</f>
        <v>0</v>
      </c>
      <c r="H69" s="666" t="str">
        <f>CONCATENATE("",E1-1," Ending Cash Balance (est.)")</f>
        <v>-1 Ending Cash Balance (est.)</v>
      </c>
      <c r="I69" s="702"/>
      <c r="J69" s="449"/>
    </row>
    <row r="70" spans="2:10" ht="15.75">
      <c r="B70" s="299"/>
      <c r="C70" s="391"/>
      <c r="D70" s="391"/>
      <c r="E70" s="95"/>
      <c r="G70" s="701">
        <f>E65</f>
        <v>0</v>
      </c>
      <c r="H70" s="679" t="str">
        <f>CONCATENATE("",E1," Non-AV Receipts (est.)")</f>
        <v>0 Non-AV Receipts (est.)</v>
      </c>
      <c r="I70" s="702"/>
      <c r="J70" s="449"/>
    </row>
    <row r="71" spans="2:11" ht="15.75">
      <c r="B71" s="299"/>
      <c r="C71" s="391"/>
      <c r="D71" s="391"/>
      <c r="E71" s="95"/>
      <c r="G71" s="703">
        <f>IF(D83&gt;0,E82,E84)</f>
        <v>0</v>
      </c>
      <c r="H71" s="679" t="str">
        <f>CONCATENATE("",E1," Ad Valorem Tax (est.)")</f>
        <v>0 Ad Valorem Tax (est.)</v>
      </c>
      <c r="I71" s="702"/>
      <c r="J71" s="449"/>
      <c r="K71" s="694">
        <f>IF(G71=E84,"","Note: Does not include Delinquent Taxes")</f>
      </c>
    </row>
    <row r="72" spans="2:10" ht="15.75">
      <c r="B72" s="299"/>
      <c r="C72" s="391"/>
      <c r="D72" s="391"/>
      <c r="E72" s="95"/>
      <c r="G72" s="476">
        <f>SUM(G69:G71)</f>
        <v>0</v>
      </c>
      <c r="H72" s="679" t="str">
        <f>CONCATENATE("Total ",E1," Resources Available")</f>
        <v>Total 0 Resources Available</v>
      </c>
      <c r="I72" s="449"/>
      <c r="J72" s="449"/>
    </row>
    <row r="73" spans="2:10" ht="15.75">
      <c r="B73" s="299"/>
      <c r="C73" s="391"/>
      <c r="D73" s="391"/>
      <c r="E73" s="95"/>
      <c r="G73" s="473"/>
      <c r="H73" s="475"/>
      <c r="I73" s="450"/>
      <c r="J73" s="449"/>
    </row>
    <row r="74" spans="2:10" ht="15.75">
      <c r="B74" s="303" t="str">
        <f>CONCATENATE("Cash Forward (",E1," column)")</f>
        <v>Cash Forward (0 column)</v>
      </c>
      <c r="C74" s="391"/>
      <c r="D74" s="391"/>
      <c r="E74" s="95"/>
      <c r="G74" s="474">
        <f>ROUND(C77*0.05+C77,0)</f>
        <v>0</v>
      </c>
      <c r="H74" s="679" t="str">
        <f>CONCATENATE("Less ",E1-2," Expenditures + 5%")</f>
        <v>Less -2 Expenditures + 5%</v>
      </c>
      <c r="I74" s="449"/>
      <c r="J74" s="449"/>
    </row>
    <row r="75" spans="2:10" ht="15.75">
      <c r="B75" s="303" t="s">
        <v>163</v>
      </c>
      <c r="C75" s="391"/>
      <c r="D75" s="391"/>
      <c r="E75" s="95"/>
      <c r="G75" s="472">
        <f>G72-G74</f>
        <v>0</v>
      </c>
      <c r="H75" s="707" t="str">
        <f>CONCATENATE("Projected ",E1+1," carryover (est.)")</f>
        <v>Projected 1 carryover (est.)</v>
      </c>
      <c r="I75" s="448"/>
      <c r="J75" s="709"/>
    </row>
    <row r="76" spans="2:9" ht="15.75">
      <c r="B76" s="303" t="s">
        <v>164</v>
      </c>
      <c r="C76" s="392">
        <f>IF(C77*0.1&lt;C75,"Exceed 10% Rule","")</f>
      </c>
      <c r="D76" s="392">
        <f>IF(D77*0.1&lt;D75,"Exceed 10% Rule","")</f>
      </c>
      <c r="E76" s="330">
        <f>IF(E77*0.1&lt;E75,"Exceed 10% Rule","")</f>
      </c>
      <c r="G76" s="3"/>
      <c r="H76" s="3"/>
      <c r="I76" s="3"/>
    </row>
    <row r="77" spans="2:10" ht="15.75">
      <c r="B77" s="305" t="s">
        <v>280</v>
      </c>
      <c r="C77" s="395">
        <f>SUM(C68:C75)</f>
        <v>0</v>
      </c>
      <c r="D77" s="395">
        <f>SUM(D68:D75)</f>
        <v>0</v>
      </c>
      <c r="E77" s="307">
        <f>SUM(E68:E75)</f>
        <v>0</v>
      </c>
      <c r="G77" s="993" t="s">
        <v>867</v>
      </c>
      <c r="H77" s="994"/>
      <c r="I77" s="994"/>
      <c r="J77" s="995"/>
    </row>
    <row r="78" spans="2:10" ht="15.75">
      <c r="B78" s="137" t="s">
        <v>48</v>
      </c>
      <c r="C78" s="393">
        <f>C66-C77</f>
        <v>0</v>
      </c>
      <c r="D78" s="393">
        <f>D66-D77</f>
        <v>0</v>
      </c>
      <c r="E78" s="318" t="s">
        <v>254</v>
      </c>
      <c r="G78" s="665"/>
      <c r="H78" s="666"/>
      <c r="I78" s="667"/>
      <c r="J78" s="668"/>
    </row>
    <row r="79" spans="2:10" ht="15.75">
      <c r="B79" s="195" t="str">
        <f>CONCATENATE("",E1-2,"/",E1-1,"/",E1," Budget Authority Amount:")</f>
        <v>-2/-1/0 Budget Authority Amount:</v>
      </c>
      <c r="C79" s="326">
        <f>inputOth!B87</f>
        <v>0</v>
      </c>
      <c r="D79" s="326">
        <f>inputPrYr!D29</f>
        <v>0</v>
      </c>
      <c r="E79" s="297">
        <f>E77</f>
        <v>0</v>
      </c>
      <c r="F79" s="319"/>
      <c r="G79" s="669" t="str">
        <f>summ!H25</f>
        <v>  </v>
      </c>
      <c r="H79" s="666" t="str">
        <f>CONCATENATE("",E1," Fund Mill Rate")</f>
        <v>0 Fund Mill Rate</v>
      </c>
      <c r="I79" s="667"/>
      <c r="J79" s="668"/>
    </row>
    <row r="80" spans="2:10" ht="15.75">
      <c r="B80" s="161"/>
      <c r="C80" s="984" t="s">
        <v>649</v>
      </c>
      <c r="D80" s="985"/>
      <c r="E80" s="95"/>
      <c r="F80" s="736">
        <f>IF(E77/0.95-E77&lt;E80,"Exceeds 5%","")</f>
      </c>
      <c r="G80" s="670" t="str">
        <f>summ!E25</f>
        <v>  </v>
      </c>
      <c r="H80" s="666" t="str">
        <f>CONCATENATE("",E1-1," Fund Mill Rate")</f>
        <v>-1 Fund Mill Rate</v>
      </c>
      <c r="I80" s="667"/>
      <c r="J80" s="668"/>
    </row>
    <row r="81" spans="2:10" ht="15.75">
      <c r="B81" s="500" t="str">
        <f>CONCATENATE(C96,"     ",D96)</f>
        <v>     </v>
      </c>
      <c r="C81" s="986" t="s">
        <v>650</v>
      </c>
      <c r="D81" s="987"/>
      <c r="E81" s="297">
        <f>E77+E80</f>
        <v>0</v>
      </c>
      <c r="G81" s="671">
        <f>summ!H56</f>
        <v>0</v>
      </c>
      <c r="H81" s="666" t="str">
        <f>CONCATENATE("Total ",E1," Mill Rate")</f>
        <v>Total 0 Mill Rate</v>
      </c>
      <c r="I81" s="667"/>
      <c r="J81" s="668"/>
    </row>
    <row r="82" spans="2:10" ht="15.75">
      <c r="B82" s="500" t="str">
        <f>CONCATENATE(C97,"     ",D97)</f>
        <v>     </v>
      </c>
      <c r="C82" s="309"/>
      <c r="D82" s="191" t="s">
        <v>281</v>
      </c>
      <c r="E82" s="106">
        <f>IF(E81-E66&gt;0,E81-E66,0)</f>
        <v>0</v>
      </c>
      <c r="G82" s="670">
        <f>summ!E56</f>
        <v>0</v>
      </c>
      <c r="H82" s="672" t="str">
        <f>CONCATENATE("Total ",E1-1," Mill Rate")</f>
        <v>Total -1 Mill Rate</v>
      </c>
      <c r="I82" s="673"/>
      <c r="J82" s="674"/>
    </row>
    <row r="83" spans="2:5" ht="15.75">
      <c r="B83" s="191"/>
      <c r="C83" s="452" t="s">
        <v>651</v>
      </c>
      <c r="D83" s="721">
        <f>inputOth!$E$66</f>
        <v>0</v>
      </c>
      <c r="E83" s="297">
        <f>ROUND(IF(D83&gt;0,(E82*D83),0),0)</f>
        <v>0</v>
      </c>
    </row>
    <row r="84" spans="2:10" ht="16.5" thickBot="1">
      <c r="B84" s="81"/>
      <c r="C84" s="982" t="str">
        <f>CONCATENATE("Amount of  ",$E$1-1," Ad Valorem Tax")</f>
        <v>Amount of  -1 Ad Valorem Tax</v>
      </c>
      <c r="D84" s="983"/>
      <c r="E84" s="322">
        <f>E82+E83</f>
        <v>0</v>
      </c>
      <c r="G84" s="881" t="s">
        <v>1036</v>
      </c>
      <c r="H84" s="882"/>
      <c r="I84" s="884"/>
      <c r="J84" s="883" t="str">
        <f>cert!F57</f>
        <v>No</v>
      </c>
    </row>
    <row r="85" spans="2:10" ht="16.5" thickTop="1">
      <c r="B85" s="81"/>
      <c r="C85" s="81"/>
      <c r="D85" s="81"/>
      <c r="E85" s="81"/>
      <c r="G85" s="874" t="str">
        <f>CONCATENATE("Computed ",E1," tax levy limit amount")</f>
        <v>Computed 0 tax levy limit amount</v>
      </c>
      <c r="H85" s="885"/>
      <c r="I85" s="885"/>
      <c r="J85" s="870">
        <f>computation!J47</f>
        <v>0</v>
      </c>
    </row>
    <row r="86" spans="2:10" ht="15.75">
      <c r="B86" s="161" t="s">
        <v>283</v>
      </c>
      <c r="C86" s="839"/>
      <c r="D86" s="81"/>
      <c r="E86" s="81"/>
      <c r="G86" s="876" t="str">
        <f>CONCATENATE("Total ",E1," tax levy amount")</f>
        <v>Total 0 tax levy amount</v>
      </c>
      <c r="H86" s="886"/>
      <c r="I86" s="886"/>
      <c r="J86" s="869">
        <f>summ!G56</f>
        <v>0</v>
      </c>
    </row>
    <row r="94" spans="3:4" ht="15.75" hidden="1">
      <c r="C94" s="77">
        <f>IF(C35&gt;C37,"See Tab A","")</f>
      </c>
      <c r="D94" s="77">
        <f>IF(D35&gt;D37,"See Tab C","")</f>
      </c>
    </row>
    <row r="95" spans="3:4" ht="15.75" hidden="1">
      <c r="C95" s="77">
        <f>IF(C36&lt;0,"See Tab B","")</f>
      </c>
      <c r="D95" s="77">
        <f>IF(D36&lt;0,"See Tab D","")</f>
      </c>
    </row>
    <row r="96" spans="3:4" ht="15.75" hidden="1">
      <c r="C96" s="77">
        <f>IF(C77&gt;C79,"See Tab A","")</f>
      </c>
      <c r="D96" s="77">
        <f>IF(D77&gt;D79,"See Tab C","")</f>
      </c>
    </row>
    <row r="97" spans="3:4" ht="15.75" hidden="1">
      <c r="C97" s="77">
        <f>IF(C78&lt;0,"See Tab B","")</f>
      </c>
      <c r="D97" s="77">
        <f>IF(D78&lt;0,"See Tab D","")</f>
      </c>
    </row>
  </sheetData>
  <sheetProtection sheet="1"/>
  <mergeCells count="13">
    <mergeCell ref="G18:J18"/>
    <mergeCell ref="G25:J25"/>
    <mergeCell ref="G35:J35"/>
    <mergeCell ref="G60:J60"/>
    <mergeCell ref="G67:J67"/>
    <mergeCell ref="G77:J77"/>
    <mergeCell ref="C38:D38"/>
    <mergeCell ref="C39:D39"/>
    <mergeCell ref="C84:D84"/>
    <mergeCell ref="C42:D42"/>
    <mergeCell ref="C43:D43"/>
    <mergeCell ref="C80:D80"/>
    <mergeCell ref="C81:D81"/>
  </mergeCells>
  <conditionalFormatting sqref="E75">
    <cfRule type="cellIs" priority="3" dxfId="326" operator="greaterThan" stopIfTrue="1">
      <formula>$E$77*0.1</formula>
    </cfRule>
  </conditionalFormatting>
  <conditionalFormatting sqref="E33">
    <cfRule type="cellIs" priority="4" dxfId="326" operator="greaterThan" stopIfTrue="1">
      <formula>$E$35*0.1</formula>
    </cfRule>
  </conditionalFormatting>
  <conditionalFormatting sqref="E38">
    <cfRule type="cellIs" priority="5" dxfId="326" operator="greaterThan" stopIfTrue="1">
      <formula>$E$35/0.95-$E$35</formula>
    </cfRule>
  </conditionalFormatting>
  <conditionalFormatting sqref="E80">
    <cfRule type="cellIs" priority="6" dxfId="326" operator="greaterThan" stopIfTrue="1">
      <formula>$E$77/0.95-$E$77</formula>
    </cfRule>
  </conditionalFormatting>
  <conditionalFormatting sqref="D75">
    <cfRule type="cellIs" priority="7" dxfId="1" operator="greaterThan" stopIfTrue="1">
      <formula>$D$77*0.1</formula>
    </cfRule>
  </conditionalFormatting>
  <conditionalFormatting sqref="C75">
    <cfRule type="cellIs" priority="8" dxfId="1" operator="greaterThan" stopIfTrue="1">
      <formula>$C$77*0.1</formula>
    </cfRule>
  </conditionalFormatting>
  <conditionalFormatting sqref="D77">
    <cfRule type="cellIs" priority="9" dxfId="1" operator="greaterThan" stopIfTrue="1">
      <formula>$D$79</formula>
    </cfRule>
  </conditionalFormatting>
  <conditionalFormatting sqref="C77">
    <cfRule type="cellIs" priority="10" dxfId="1" operator="greaterThan" stopIfTrue="1">
      <formula>$C$79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33">
    <cfRule type="cellIs" priority="14" dxfId="1" operator="greaterThan" stopIfTrue="1">
      <formula>$D$35*0.1</formula>
    </cfRule>
  </conditionalFormatting>
  <conditionalFormatting sqref="C33">
    <cfRule type="cellIs" priority="15" dxfId="1" operator="greaterThan" stopIfTrue="1">
      <formula>$C$35*0.1</formula>
    </cfRule>
  </conditionalFormatting>
  <conditionalFormatting sqref="D35">
    <cfRule type="cellIs" priority="16" dxfId="1" operator="greaterThan" stopIfTrue="1">
      <formula>$D$37</formula>
    </cfRule>
  </conditionalFormatting>
  <conditionalFormatting sqref="C35">
    <cfRule type="cellIs" priority="17" dxfId="1" operator="greaterThan" stopIfTrue="1">
      <formula>$C$37</formula>
    </cfRule>
  </conditionalFormatting>
  <conditionalFormatting sqref="D21">
    <cfRule type="cellIs" priority="18" dxfId="1" operator="greaterThan" stopIfTrue="1">
      <formula>$D$23*0.1</formula>
    </cfRule>
  </conditionalFormatting>
  <conditionalFormatting sqref="C21">
    <cfRule type="cellIs" priority="19" dxfId="1" operator="greaterThan" stopIfTrue="1">
      <formula>$C$23*0.1</formula>
    </cfRule>
  </conditionalFormatting>
  <conditionalFormatting sqref="D78 D36">
    <cfRule type="cellIs" priority="2" dxfId="0" operator="lessThan" stopIfTrue="1">
      <formula>0</formula>
    </cfRule>
  </conditionalFormatting>
  <conditionalFormatting sqref="E21">
    <cfRule type="cellIs" priority="61" dxfId="326" operator="greaterThan" stopIfTrue="1">
      <formula>$E$23*0.1+$E$42</formula>
    </cfRule>
  </conditionalFormatting>
  <conditionalFormatting sqref="E63">
    <cfRule type="cellIs" priority="62" dxfId="326" operator="greaterThan" stopIfTrue="1">
      <formula>$E$65*0.1+$E$84</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34" sqref="Q134"/>
    </sheetView>
  </sheetViews>
  <sheetFormatPr defaultColWidth="8.796875" defaultRowHeight="15"/>
  <cols>
    <col min="1" max="1" width="2.3984375" style="77" customWidth="1"/>
    <col min="2" max="2" width="31.09765625" style="77" customWidth="1"/>
    <col min="3" max="4" width="15.796875" style="77" customWidth="1"/>
    <col min="5" max="5" width="16.296875" style="77" customWidth="1"/>
    <col min="6" max="6" width="8.09765625" style="77" customWidth="1"/>
    <col min="7" max="7" width="10.19921875" style="77" customWidth="1"/>
    <col min="8" max="8" width="8.8984375" style="77" customWidth="1"/>
    <col min="9" max="9" width="5.5976562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293" t="s">
        <v>6</v>
      </c>
      <c r="C3" s="211"/>
      <c r="D3" s="211"/>
      <c r="E3" s="317"/>
    </row>
    <row r="4" spans="2:5" ht="15.75">
      <c r="B4" s="84" t="s">
        <v>264</v>
      </c>
      <c r="C4" s="573" t="s">
        <v>781</v>
      </c>
      <c r="D4" s="574" t="s">
        <v>782</v>
      </c>
      <c r="E4" s="168" t="s">
        <v>783</v>
      </c>
    </row>
    <row r="5" spans="2:5" ht="15.75">
      <c r="B5" s="520">
        <f>inputPrYr!B30</f>
        <v>0</v>
      </c>
      <c r="C5" s="399" t="str">
        <f>CONCATENATE("Actual for ",E1-2,"")</f>
        <v>Actual for -2</v>
      </c>
      <c r="D5" s="399" t="str">
        <f>CONCATENATE("Estimate for ",E1-1,"")</f>
        <v>Estimate for -1</v>
      </c>
      <c r="E5" s="218" t="str">
        <f>CONCATENATE("Year for ",E1,"")</f>
        <v>Year for 0</v>
      </c>
    </row>
    <row r="6" spans="2:5" ht="15.75">
      <c r="B6" s="311" t="s">
        <v>47</v>
      </c>
      <c r="C6" s="391"/>
      <c r="D6" s="396">
        <f>C36</f>
        <v>0</v>
      </c>
      <c r="E6" s="297">
        <f>D36</f>
        <v>0</v>
      </c>
    </row>
    <row r="7" spans="2:5" ht="15.75">
      <c r="B7" s="312" t="s">
        <v>49</v>
      </c>
      <c r="C7" s="182"/>
      <c r="D7" s="182"/>
      <c r="E7" s="109"/>
    </row>
    <row r="8" spans="2:5" ht="15.75">
      <c r="B8" s="137" t="s">
        <v>265</v>
      </c>
      <c r="C8" s="391"/>
      <c r="D8" s="396">
        <f>IF(inputPrYr!H21&gt;0,inputPrYr!G30,inputPrYr!E30)</f>
        <v>0</v>
      </c>
      <c r="E8" s="318" t="s">
        <v>254</v>
      </c>
    </row>
    <row r="9" spans="2:5" ht="15.75">
      <c r="B9" s="137" t="s">
        <v>266</v>
      </c>
      <c r="C9" s="391"/>
      <c r="D9" s="391"/>
      <c r="E9" s="95"/>
    </row>
    <row r="10" spans="2:5" ht="15.75">
      <c r="B10" s="137" t="s">
        <v>267</v>
      </c>
      <c r="C10" s="391"/>
      <c r="D10" s="391"/>
      <c r="E10" s="297" t="str">
        <f>mvalloc!D15</f>
        <v>  </v>
      </c>
    </row>
    <row r="11" spans="2:5" ht="15.75">
      <c r="B11" s="137" t="s">
        <v>268</v>
      </c>
      <c r="C11" s="391"/>
      <c r="D11" s="391"/>
      <c r="E11" s="297" t="str">
        <f>mvalloc!E15</f>
        <v> </v>
      </c>
    </row>
    <row r="12" spans="2:5" ht="15.75">
      <c r="B12" s="182" t="s">
        <v>37</v>
      </c>
      <c r="C12" s="391"/>
      <c r="D12" s="391"/>
      <c r="E12" s="297" t="str">
        <f>mvalloc!F15</f>
        <v> </v>
      </c>
    </row>
    <row r="13" spans="2:5" ht="15.75">
      <c r="B13" s="327" t="s">
        <v>1023</v>
      </c>
      <c r="C13" s="391"/>
      <c r="D13" s="391"/>
      <c r="E13" s="297" t="str">
        <f>mvalloc!G15</f>
        <v> </v>
      </c>
    </row>
    <row r="14" spans="2:5" ht="15.75">
      <c r="B14" s="327" t="s">
        <v>1024</v>
      </c>
      <c r="C14" s="391"/>
      <c r="D14" s="391"/>
      <c r="E14" s="297" t="str">
        <f>mvalloc!H15</f>
        <v> </v>
      </c>
    </row>
    <row r="15" spans="2:5" ht="15.75">
      <c r="B15" s="299"/>
      <c r="C15" s="391"/>
      <c r="D15" s="391"/>
      <c r="E15" s="95"/>
    </row>
    <row r="16" spans="2:5" ht="15.75">
      <c r="B16" s="299"/>
      <c r="C16" s="391"/>
      <c r="D16" s="391"/>
      <c r="E16" s="95"/>
    </row>
    <row r="17" spans="2:5" ht="15.75">
      <c r="B17" s="299"/>
      <c r="C17" s="391"/>
      <c r="D17" s="391"/>
      <c r="E17" s="95"/>
    </row>
    <row r="18" spans="2:10" ht="15.75">
      <c r="B18" s="299"/>
      <c r="C18" s="391"/>
      <c r="D18" s="391"/>
      <c r="E18" s="95"/>
      <c r="G18" s="996" t="str">
        <f>CONCATENATE("Desired Carryover Into ",E1+1,"")</f>
        <v>Desired Carryover Into 1</v>
      </c>
      <c r="H18" s="991"/>
      <c r="I18" s="991"/>
      <c r="J18" s="992"/>
    </row>
    <row r="19" spans="2:10" ht="15.75">
      <c r="B19" s="313" t="s">
        <v>272</v>
      </c>
      <c r="C19" s="391"/>
      <c r="D19" s="391"/>
      <c r="E19" s="95"/>
      <c r="G19" s="678"/>
      <c r="H19" s="450"/>
      <c r="I19" s="679"/>
      <c r="J19" s="680"/>
    </row>
    <row r="20" spans="2:10" ht="15.75">
      <c r="B20" s="303" t="s">
        <v>162</v>
      </c>
      <c r="C20" s="391"/>
      <c r="D20" s="391"/>
      <c r="E20" s="333">
        <f>nhood!E13*-1</f>
        <v>0</v>
      </c>
      <c r="G20" s="681" t="s">
        <v>652</v>
      </c>
      <c r="H20" s="679"/>
      <c r="I20" s="679"/>
      <c r="J20" s="682">
        <v>0</v>
      </c>
    </row>
    <row r="21" spans="2:10" ht="15.75">
      <c r="B21" s="303" t="s">
        <v>163</v>
      </c>
      <c r="C21" s="391"/>
      <c r="D21" s="391"/>
      <c r="E21" s="95"/>
      <c r="G21" s="678" t="s">
        <v>653</v>
      </c>
      <c r="H21" s="450"/>
      <c r="I21" s="450"/>
      <c r="J21" s="699">
        <f>IF(J20=0,"",ROUND((J20+E42-G33)/inputOth!B14*1000,3)-G38)</f>
      </c>
    </row>
    <row r="22" spans="2:10" ht="15.75">
      <c r="B22" s="303" t="s">
        <v>165</v>
      </c>
      <c r="C22" s="392">
        <f>IF(C23*0.1&lt;C21,"Exceed 10% Rule","")</f>
      </c>
      <c r="D22" s="392">
        <f>IF(D23*0.1&lt;D21,"Exceed 10% Rule","")</f>
      </c>
      <c r="E22" s="330">
        <f>IF(E23*0.1+E42&lt;E21,"Exceed 10% Rule","")</f>
      </c>
      <c r="G22" s="684" t="str">
        <f>CONCATENATE("",E1," Tot Exp/Non-Appr Must Be:")</f>
        <v>0 Tot Exp/Non-Appr Must Be:</v>
      </c>
      <c r="H22" s="685"/>
      <c r="I22" s="686"/>
      <c r="J22" s="687">
        <f>IF(J20&gt;0,IF(E39&lt;E24,IF(J20=G33,E39,((J20-G33)*(1-D41))+E24),E39+(J20-G33)),0)</f>
        <v>0</v>
      </c>
    </row>
    <row r="23" spans="2:10" ht="15.75">
      <c r="B23" s="305" t="s">
        <v>273</v>
      </c>
      <c r="C23" s="395">
        <f>SUM(C8:C21)</f>
        <v>0</v>
      </c>
      <c r="D23" s="395">
        <f>SUM(D8:D21)</f>
        <v>0</v>
      </c>
      <c r="E23" s="307">
        <f>SUM(E8:E21)</f>
        <v>0</v>
      </c>
      <c r="G23" s="651" t="s">
        <v>866</v>
      </c>
      <c r="H23" s="688"/>
      <c r="I23" s="688"/>
      <c r="J23" s="653">
        <f>IF(J20&gt;0,J22-E39,0)</f>
        <v>0</v>
      </c>
    </row>
    <row r="24" spans="2:10" ht="15.75">
      <c r="B24" s="305" t="s">
        <v>274</v>
      </c>
      <c r="C24" s="395">
        <f>C6+C23</f>
        <v>0</v>
      </c>
      <c r="D24" s="395">
        <f>D6+D23</f>
        <v>0</v>
      </c>
      <c r="E24" s="307">
        <f>E6+E23</f>
        <v>0</v>
      </c>
      <c r="J24" s="3"/>
    </row>
    <row r="25" spans="2:10" ht="15.75">
      <c r="B25" s="137" t="s">
        <v>276</v>
      </c>
      <c r="C25" s="303"/>
      <c r="D25" s="303"/>
      <c r="E25" s="94"/>
      <c r="G25" s="996" t="str">
        <f>CONCATENATE("Projected Carryover Into ",E1+1,"")</f>
        <v>Projected Carryover Into 1</v>
      </c>
      <c r="H25" s="998"/>
      <c r="I25" s="998"/>
      <c r="J25" s="1000"/>
    </row>
    <row r="26" spans="2:10" ht="15.75">
      <c r="B26" s="299"/>
      <c r="C26" s="391"/>
      <c r="D26" s="391"/>
      <c r="E26" s="95"/>
      <c r="G26" s="678"/>
      <c r="H26" s="679"/>
      <c r="I26" s="679"/>
      <c r="J26" s="700"/>
    </row>
    <row r="27" spans="2:10" ht="15.75">
      <c r="B27" s="299"/>
      <c r="C27" s="391"/>
      <c r="D27" s="391"/>
      <c r="E27" s="95"/>
      <c r="G27" s="701">
        <f>D36</f>
        <v>0</v>
      </c>
      <c r="H27" s="666" t="str">
        <f>CONCATENATE("",E1-1," Ending Cash Balance (est.)")</f>
        <v>-1 Ending Cash Balance (est.)</v>
      </c>
      <c r="I27" s="702"/>
      <c r="J27" s="700"/>
    </row>
    <row r="28" spans="2:10" ht="15.75">
      <c r="B28" s="299"/>
      <c r="C28" s="391"/>
      <c r="D28" s="391"/>
      <c r="E28" s="95"/>
      <c r="G28" s="701">
        <f>E23</f>
        <v>0</v>
      </c>
      <c r="H28" s="679" t="str">
        <f>CONCATENATE("",E1," Non-AV Receipts (est.)")</f>
        <v>0 Non-AV Receipts (est.)</v>
      </c>
      <c r="I28" s="702"/>
      <c r="J28" s="700"/>
    </row>
    <row r="29" spans="2:11" ht="15.75">
      <c r="B29" s="299"/>
      <c r="C29" s="391"/>
      <c r="D29" s="391"/>
      <c r="E29" s="95"/>
      <c r="G29" s="703">
        <f>IF(E41&gt;0,E40,E42)</f>
        <v>0</v>
      </c>
      <c r="H29" s="679" t="str">
        <f>CONCATENATE("",E1," Ad Valorem Tax (est.)")</f>
        <v>0 Ad Valorem Tax (est.)</v>
      </c>
      <c r="I29" s="702"/>
      <c r="J29" s="704"/>
      <c r="K29" s="694">
        <f>IF(G29=E42,"","Note: Does not include Delinquent Taxes")</f>
      </c>
    </row>
    <row r="30" spans="2:10" ht="15.75">
      <c r="B30" s="299"/>
      <c r="C30" s="391"/>
      <c r="D30" s="391"/>
      <c r="E30" s="95"/>
      <c r="G30" s="701">
        <f>SUM(G27:G29)</f>
        <v>0</v>
      </c>
      <c r="H30" s="679" t="str">
        <f>CONCATENATE("Total ",E1," Resources Available")</f>
        <v>Total 0 Resources Available</v>
      </c>
      <c r="I30" s="702"/>
      <c r="J30" s="700"/>
    </row>
    <row r="31" spans="2:10" ht="15.75">
      <c r="B31" s="299"/>
      <c r="C31" s="391"/>
      <c r="D31" s="391"/>
      <c r="E31" s="95"/>
      <c r="G31" s="705"/>
      <c r="H31" s="679"/>
      <c r="I31" s="679"/>
      <c r="J31" s="700"/>
    </row>
    <row r="32" spans="2:10" ht="15.75">
      <c r="B32" s="303" t="str">
        <f>CONCATENATE("Cash Forward (",E1," column)")</f>
        <v>Cash Forward (0 column)</v>
      </c>
      <c r="C32" s="391"/>
      <c r="D32" s="391"/>
      <c r="E32" s="95"/>
      <c r="G32" s="703">
        <f>ROUND(C35*0.05+C35,0)</f>
        <v>0</v>
      </c>
      <c r="H32" s="679" t="str">
        <f>CONCATENATE("Less ",E1-2," Expenditures + 5%")</f>
        <v>Less -2 Expenditures + 5%</v>
      </c>
      <c r="I32" s="702"/>
      <c r="J32" s="700"/>
    </row>
    <row r="33" spans="2:10" ht="15.75">
      <c r="B33" s="303" t="s">
        <v>163</v>
      </c>
      <c r="C33" s="391"/>
      <c r="D33" s="391"/>
      <c r="E33" s="95"/>
      <c r="G33" s="706">
        <f>G30-G32</f>
        <v>0</v>
      </c>
      <c r="H33" s="707" t="str">
        <f>CONCATENATE("Projected ",E1+1," carryover (est.)")</f>
        <v>Projected 1 carryover (est.)</v>
      </c>
      <c r="I33" s="708"/>
      <c r="J33" s="709"/>
    </row>
    <row r="34" spans="2:10" ht="15.75">
      <c r="B34" s="303" t="s">
        <v>164</v>
      </c>
      <c r="C34" s="392">
        <f>IF(C35*0.1&lt;C33,"Exceed 10% Rule","")</f>
      </c>
      <c r="D34" s="392">
        <f>IF(D35*0.1&lt;D33,"Exceed 10% Rule","")</f>
      </c>
      <c r="E34" s="330">
        <f>IF(E35*0.1&lt;E33,"Exceed 10% Rule","")</f>
      </c>
      <c r="G34" s="3"/>
      <c r="H34" s="3"/>
      <c r="I34" s="3"/>
      <c r="J34" s="3"/>
    </row>
    <row r="35" spans="2:10" ht="15.75">
      <c r="B35" s="305" t="s">
        <v>280</v>
      </c>
      <c r="C35" s="395">
        <f>SUM(C26:C33)</f>
        <v>0</v>
      </c>
      <c r="D35" s="395">
        <f>SUM(D26:D33)</f>
        <v>0</v>
      </c>
      <c r="E35" s="307">
        <f>SUM(E26:E33)</f>
        <v>0</v>
      </c>
      <c r="G35" s="993" t="s">
        <v>867</v>
      </c>
      <c r="H35" s="994"/>
      <c r="I35" s="994"/>
      <c r="J35" s="995"/>
    </row>
    <row r="36" spans="2:10" ht="15.75">
      <c r="B36" s="137" t="s">
        <v>48</v>
      </c>
      <c r="C36" s="393">
        <f>C24-C35</f>
        <v>0</v>
      </c>
      <c r="D36" s="393">
        <f>D24-D35</f>
        <v>0</v>
      </c>
      <c r="E36" s="318" t="s">
        <v>254</v>
      </c>
      <c r="G36" s="665"/>
      <c r="H36" s="666"/>
      <c r="I36" s="667"/>
      <c r="J36" s="668"/>
    </row>
    <row r="37" spans="2:10" ht="15.75">
      <c r="B37" s="195" t="str">
        <f>CONCATENATE("",E1-2,"/",E1-1,"/",E1," Budget Authority Amount:")</f>
        <v>-2/-1/0 Budget Authority Amount:</v>
      </c>
      <c r="C37" s="326">
        <f>inputOth!B88</f>
        <v>0</v>
      </c>
      <c r="D37" s="326">
        <f>inputPrYr!D30</f>
        <v>0</v>
      </c>
      <c r="E37" s="297">
        <f>E35</f>
        <v>0</v>
      </c>
      <c r="F37" s="319"/>
      <c r="G37" s="669" t="str">
        <f>summ!H26</f>
        <v>  </v>
      </c>
      <c r="H37" s="666" t="str">
        <f>CONCATENATE("",E1," Fund Mill Rate")</f>
        <v>0 Fund Mill Rate</v>
      </c>
      <c r="I37" s="667"/>
      <c r="J37" s="668"/>
    </row>
    <row r="38" spans="2:10" ht="15.75">
      <c r="B38" s="161"/>
      <c r="C38" s="984" t="s">
        <v>649</v>
      </c>
      <c r="D38" s="985"/>
      <c r="E38" s="95"/>
      <c r="F38" s="736">
        <f>IF(E35/0.95-E35&lt;E38,"Exceeds 5%","")</f>
      </c>
      <c r="G38" s="670" t="str">
        <f>summ!E26</f>
        <v>  </v>
      </c>
      <c r="H38" s="666" t="str">
        <f>CONCATENATE("",E1-1," Fund Mill Rate")</f>
        <v>-1 Fund Mill Rate</v>
      </c>
      <c r="I38" s="667"/>
      <c r="J38" s="668"/>
    </row>
    <row r="39" spans="2:10" ht="15.75">
      <c r="B39" s="500" t="str">
        <f>CONCATENATE(C94,"     ",D94)</f>
        <v>     </v>
      </c>
      <c r="C39" s="986" t="s">
        <v>650</v>
      </c>
      <c r="D39" s="987"/>
      <c r="E39" s="297">
        <f>E35+E38</f>
        <v>0</v>
      </c>
      <c r="G39" s="671">
        <f>summ!H56</f>
        <v>0</v>
      </c>
      <c r="H39" s="666" t="str">
        <f>CONCATENATE("Total ",E1," Mill Rate")</f>
        <v>Total 0 Mill Rate</v>
      </c>
      <c r="I39" s="667"/>
      <c r="J39" s="668"/>
    </row>
    <row r="40" spans="2:10" ht="15.75">
      <c r="B40" s="500" t="str">
        <f>CONCATENATE(C95,"     ",D95)</f>
        <v>     </v>
      </c>
      <c r="C40" s="309"/>
      <c r="D40" s="191" t="s">
        <v>281</v>
      </c>
      <c r="E40" s="106">
        <f>IF(E39-E24&gt;0,E39-E24,0)</f>
        <v>0</v>
      </c>
      <c r="G40" s="670">
        <f>summ!E56</f>
        <v>0</v>
      </c>
      <c r="H40" s="672" t="str">
        <f>CONCATENATE("Total ",E1-1," Mill Rate")</f>
        <v>Total -1 Mill Rate</v>
      </c>
      <c r="I40" s="673"/>
      <c r="J40" s="674"/>
    </row>
    <row r="41" spans="2:5" ht="15.75">
      <c r="B41" s="191"/>
      <c r="C41" s="452" t="s">
        <v>651</v>
      </c>
      <c r="D41" s="721">
        <f>inputOth!$E$66</f>
        <v>0</v>
      </c>
      <c r="E41" s="297">
        <f>ROUND(IF(D41&gt;0,(E40*D41),0),0)</f>
        <v>0</v>
      </c>
    </row>
    <row r="42" spans="2:10" ht="16.5" thickBot="1">
      <c r="B42" s="116"/>
      <c r="C42" s="982" t="str">
        <f>CONCATENATE("Amount of  ",$E$1-1," Ad Valorem Tax")</f>
        <v>Amount of  -1 Ad Valorem Tax</v>
      </c>
      <c r="D42" s="983"/>
      <c r="E42" s="322">
        <f>E40+E41</f>
        <v>0</v>
      </c>
      <c r="G42" s="881" t="s">
        <v>1036</v>
      </c>
      <c r="H42" s="882"/>
      <c r="I42" s="884"/>
      <c r="J42" s="883" t="str">
        <f>cert!F57</f>
        <v>No</v>
      </c>
    </row>
    <row r="43" spans="2:10" ht="16.5" thickTop="1">
      <c r="B43" s="81"/>
      <c r="C43" s="116"/>
      <c r="D43" s="116"/>
      <c r="E43" s="81"/>
      <c r="G43" s="874" t="str">
        <f>CONCATENATE("Computed ",E1," tax levy limit amount")</f>
        <v>Computed 0 tax levy limit amount</v>
      </c>
      <c r="H43" s="885"/>
      <c r="I43" s="885"/>
      <c r="J43" s="870">
        <f>computation!J47</f>
        <v>0</v>
      </c>
    </row>
    <row r="44" spans="2:10" ht="15.75">
      <c r="B44" s="84"/>
      <c r="C44" s="241"/>
      <c r="D44" s="241"/>
      <c r="E44" s="241"/>
      <c r="G44" s="876" t="str">
        <f>CONCATENATE("Total ",E1," tax levy amount")</f>
        <v>Total 0 tax levy amount</v>
      </c>
      <c r="H44" s="886"/>
      <c r="I44" s="886"/>
      <c r="J44" s="869">
        <f>summ!G56</f>
        <v>0</v>
      </c>
    </row>
    <row r="45" spans="2:5" ht="15.75">
      <c r="B45" s="84" t="s">
        <v>264</v>
      </c>
      <c r="C45" s="573" t="s">
        <v>781</v>
      </c>
      <c r="D45" s="574" t="s">
        <v>784</v>
      </c>
      <c r="E45" s="168" t="s">
        <v>783</v>
      </c>
    </row>
    <row r="46" spans="2:5" ht="15.75">
      <c r="B46" s="519">
        <f>inputPrYr!B31</f>
        <v>0</v>
      </c>
      <c r="C46" s="399" t="str">
        <f>C5</f>
        <v>Actual for -2</v>
      </c>
      <c r="D46" s="399" t="str">
        <f>D5</f>
        <v>Estimate for -1</v>
      </c>
      <c r="E46" s="218" t="str">
        <f>E5</f>
        <v>Year for 0</v>
      </c>
    </row>
    <row r="47" spans="2:5" ht="15.75">
      <c r="B47" s="311" t="s">
        <v>47</v>
      </c>
      <c r="C47" s="391"/>
      <c r="D47" s="396">
        <f>C78</f>
        <v>0</v>
      </c>
      <c r="E47" s="297">
        <f>D78</f>
        <v>0</v>
      </c>
    </row>
    <row r="48" spans="2:5" ht="15.75">
      <c r="B48" s="311" t="s">
        <v>49</v>
      </c>
      <c r="C48" s="182"/>
      <c r="D48" s="182"/>
      <c r="E48" s="109"/>
    </row>
    <row r="49" spans="2:5" ht="15.75">
      <c r="B49" s="137" t="s">
        <v>265</v>
      </c>
      <c r="C49" s="391"/>
      <c r="D49" s="396">
        <f>IF(inputPrYr!H21&gt;0,inputPrYr!G31,inputPrYr!E31)</f>
        <v>0</v>
      </c>
      <c r="E49" s="318" t="s">
        <v>254</v>
      </c>
    </row>
    <row r="50" spans="2:5" ht="15.75">
      <c r="B50" s="137" t="s">
        <v>266</v>
      </c>
      <c r="C50" s="391"/>
      <c r="D50" s="391"/>
      <c r="E50" s="95"/>
    </row>
    <row r="51" spans="2:5" ht="15.75">
      <c r="B51" s="137" t="s">
        <v>267</v>
      </c>
      <c r="C51" s="391"/>
      <c r="D51" s="391"/>
      <c r="E51" s="297" t="str">
        <f>mvalloc!D16</f>
        <v>  </v>
      </c>
    </row>
    <row r="52" spans="2:5" ht="15.75">
      <c r="B52" s="137" t="s">
        <v>268</v>
      </c>
      <c r="C52" s="391"/>
      <c r="D52" s="391"/>
      <c r="E52" s="297" t="str">
        <f>mvalloc!E16</f>
        <v> </v>
      </c>
    </row>
    <row r="53" spans="2:5" ht="15.75">
      <c r="B53" s="182" t="s">
        <v>37</v>
      </c>
      <c r="C53" s="391"/>
      <c r="D53" s="391"/>
      <c r="E53" s="297" t="str">
        <f>mvalloc!F16</f>
        <v> </v>
      </c>
    </row>
    <row r="54" spans="2:5" ht="15.75">
      <c r="B54" s="327" t="s">
        <v>1023</v>
      </c>
      <c r="C54" s="391"/>
      <c r="D54" s="391"/>
      <c r="E54" s="297" t="str">
        <f>mvalloc!G16</f>
        <v> </v>
      </c>
    </row>
    <row r="55" spans="2:5" ht="15.75">
      <c r="B55" s="327" t="s">
        <v>1024</v>
      </c>
      <c r="C55" s="391"/>
      <c r="D55" s="391"/>
      <c r="E55" s="297" t="str">
        <f>mvalloc!H16</f>
        <v> </v>
      </c>
    </row>
    <row r="56" spans="2:5" ht="15.75">
      <c r="B56" s="299"/>
      <c r="C56" s="391"/>
      <c r="D56" s="391"/>
      <c r="E56" s="95"/>
    </row>
    <row r="57" spans="2:5" ht="15.75">
      <c r="B57" s="299"/>
      <c r="C57" s="391"/>
      <c r="D57" s="391"/>
      <c r="E57" s="95"/>
    </row>
    <row r="58" spans="2:5" ht="15.75">
      <c r="B58" s="299"/>
      <c r="C58" s="391"/>
      <c r="D58" s="391"/>
      <c r="E58" s="95"/>
    </row>
    <row r="59" spans="2:5" ht="15.75">
      <c r="B59" s="299"/>
      <c r="C59" s="391"/>
      <c r="D59" s="391"/>
      <c r="E59" s="95"/>
    </row>
    <row r="60" spans="2:10" ht="15.75">
      <c r="B60" s="299"/>
      <c r="C60" s="391"/>
      <c r="D60" s="391"/>
      <c r="E60" s="95"/>
      <c r="G60" s="996" t="str">
        <f>CONCATENATE("Desired Carryover Into ",E1+1,"")</f>
        <v>Desired Carryover Into 1</v>
      </c>
      <c r="H60" s="991"/>
      <c r="I60" s="991"/>
      <c r="J60" s="992"/>
    </row>
    <row r="61" spans="2:10" ht="15.75">
      <c r="B61" s="313" t="s">
        <v>272</v>
      </c>
      <c r="C61" s="391"/>
      <c r="D61" s="391"/>
      <c r="E61" s="95"/>
      <c r="G61" s="678"/>
      <c r="H61" s="450"/>
      <c r="I61" s="679"/>
      <c r="J61" s="680"/>
    </row>
    <row r="62" spans="2:10" ht="15.75">
      <c r="B62" s="303" t="s">
        <v>162</v>
      </c>
      <c r="C62" s="391"/>
      <c r="D62" s="391"/>
      <c r="E62" s="333">
        <f>nhood!E14*-1</f>
        <v>0</v>
      </c>
      <c r="G62" s="681" t="s">
        <v>652</v>
      </c>
      <c r="H62" s="679"/>
      <c r="I62" s="679"/>
      <c r="J62" s="682">
        <v>0</v>
      </c>
    </row>
    <row r="63" spans="2:10" ht="15.75">
      <c r="B63" s="303" t="s">
        <v>163</v>
      </c>
      <c r="C63" s="391"/>
      <c r="D63" s="391"/>
      <c r="E63" s="95"/>
      <c r="G63" s="678" t="s">
        <v>653</v>
      </c>
      <c r="H63" s="450"/>
      <c r="I63" s="450"/>
      <c r="J63" s="699">
        <f>IF(J62=0,"",ROUND((J62+E84-G75)/inputOth!B14*1000,3)-G80)</f>
      </c>
    </row>
    <row r="64" spans="2:10" ht="15.75">
      <c r="B64" s="303" t="s">
        <v>645</v>
      </c>
      <c r="C64" s="392">
        <f>IF(C65*0.1&lt;C63,"Exceed 10% Rule","")</f>
      </c>
      <c r="D64" s="392">
        <f>IF(D65*0.1&lt;D63,"Exceed 10% Rule","")</f>
      </c>
      <c r="E64" s="330">
        <f>IF(E65*0.1+E84&lt;E63,"Exceed 10% Rule","")</f>
      </c>
      <c r="G64" s="684" t="str">
        <f>CONCATENATE("",E1," Tot Exp/Non-Appr Must Be:")</f>
        <v>0 Tot Exp/Non-Appr Must Be:</v>
      </c>
      <c r="H64" s="685"/>
      <c r="I64" s="686"/>
      <c r="J64" s="687">
        <f>IF(J62&gt;0,IF(E81&lt;E66,IF(J62=G75,E81,((J62-G75)*(1-D83))+E66),E81+(J62-G75)),0)</f>
        <v>0</v>
      </c>
    </row>
    <row r="65" spans="2:10" ht="15.75">
      <c r="B65" s="305" t="s">
        <v>273</v>
      </c>
      <c r="C65" s="395">
        <f>SUM(C49:C63)</f>
        <v>0</v>
      </c>
      <c r="D65" s="395">
        <f>SUM(D49:D63)</f>
        <v>0</v>
      </c>
      <c r="E65" s="307">
        <f>SUM(E49:E63)</f>
        <v>0</v>
      </c>
      <c r="G65" s="651" t="s">
        <v>866</v>
      </c>
      <c r="H65" s="688"/>
      <c r="I65" s="688"/>
      <c r="J65" s="653">
        <f>IF(J62&gt;0,J64-E81,0)</f>
        <v>0</v>
      </c>
    </row>
    <row r="66" spans="2:10" ht="15.75">
      <c r="B66" s="305" t="s">
        <v>274</v>
      </c>
      <c r="C66" s="395">
        <f>C47+C65</f>
        <v>0</v>
      </c>
      <c r="D66" s="395">
        <f>D47+D65</f>
        <v>0</v>
      </c>
      <c r="E66" s="307">
        <f>E47+E65</f>
        <v>0</v>
      </c>
      <c r="J66" s="3"/>
    </row>
    <row r="67" spans="2:10" ht="15.75">
      <c r="B67" s="137" t="s">
        <v>276</v>
      </c>
      <c r="C67" s="303"/>
      <c r="D67" s="303"/>
      <c r="E67" s="94"/>
      <c r="G67" s="996" t="str">
        <f>CONCATENATE("Projected Carryover Into ",E1+1,"")</f>
        <v>Projected Carryover Into 1</v>
      </c>
      <c r="H67" s="999"/>
      <c r="I67" s="999"/>
      <c r="J67" s="1000"/>
    </row>
    <row r="68" spans="2:10" ht="15.75">
      <c r="B68" s="299"/>
      <c r="C68" s="391"/>
      <c r="D68" s="391"/>
      <c r="E68" s="95"/>
      <c r="G68" s="451"/>
      <c r="H68" s="450"/>
      <c r="I68" s="450"/>
      <c r="J68" s="449"/>
    </row>
    <row r="69" spans="2:10" ht="15.75">
      <c r="B69" s="299"/>
      <c r="C69" s="391"/>
      <c r="D69" s="391"/>
      <c r="E69" s="95"/>
      <c r="G69" s="701">
        <f>D78</f>
        <v>0</v>
      </c>
      <c r="H69" s="666" t="str">
        <f>CONCATENATE("",E1-1," Ending Cash Balance (est.)")</f>
        <v>-1 Ending Cash Balance (est.)</v>
      </c>
      <c r="I69" s="702"/>
      <c r="J69" s="449"/>
    </row>
    <row r="70" spans="2:10" ht="15.75">
      <c r="B70" s="299"/>
      <c r="C70" s="391"/>
      <c r="D70" s="391"/>
      <c r="E70" s="95"/>
      <c r="G70" s="701">
        <f>E65</f>
        <v>0</v>
      </c>
      <c r="H70" s="679" t="str">
        <f>CONCATENATE("",E1," Non-AV Receipts (est.)")</f>
        <v>0 Non-AV Receipts (est.)</v>
      </c>
      <c r="I70" s="702"/>
      <c r="J70" s="449"/>
    </row>
    <row r="71" spans="2:11" ht="15.75">
      <c r="B71" s="299"/>
      <c r="C71" s="391"/>
      <c r="D71" s="391"/>
      <c r="E71" s="95"/>
      <c r="G71" s="703">
        <f>IF(D83&gt;0,E82,E84)</f>
        <v>0</v>
      </c>
      <c r="H71" s="679" t="str">
        <f>CONCATENATE("",E1," Ad Valorem Tax (est.)")</f>
        <v>0 Ad Valorem Tax (est.)</v>
      </c>
      <c r="I71" s="702"/>
      <c r="J71" s="449"/>
      <c r="K71" s="694">
        <f>IF(G71=E84,"","Note: Does not include Delinquent Taxes")</f>
      </c>
    </row>
    <row r="72" spans="2:10" ht="15.75">
      <c r="B72" s="299"/>
      <c r="C72" s="391"/>
      <c r="D72" s="391"/>
      <c r="E72" s="95"/>
      <c r="G72" s="476">
        <f>SUM(G69:G71)</f>
        <v>0</v>
      </c>
      <c r="H72" s="679" t="str">
        <f>CONCATENATE("Total ",E1," Resources Available")</f>
        <v>Total 0 Resources Available</v>
      </c>
      <c r="I72" s="449"/>
      <c r="J72" s="449"/>
    </row>
    <row r="73" spans="2:10" ht="15.75">
      <c r="B73" s="299"/>
      <c r="C73" s="391"/>
      <c r="D73" s="391"/>
      <c r="E73" s="95"/>
      <c r="G73" s="473"/>
      <c r="H73" s="475"/>
      <c r="I73" s="450"/>
      <c r="J73" s="449"/>
    </row>
    <row r="74" spans="2:10" ht="15.75">
      <c r="B74" s="303" t="str">
        <f>CONCATENATE("Cash Forward (",E1," column)")</f>
        <v>Cash Forward (0 column)</v>
      </c>
      <c r="C74" s="391"/>
      <c r="D74" s="391"/>
      <c r="E74" s="95"/>
      <c r="G74" s="474">
        <f>ROUND(C77*0.05+C77,0)</f>
        <v>0</v>
      </c>
      <c r="H74" s="679" t="str">
        <f>CONCATENATE("Less ",E1-2," Expenditures + 5%")</f>
        <v>Less -2 Expenditures + 5%</v>
      </c>
      <c r="I74" s="449"/>
      <c r="J74" s="449"/>
    </row>
    <row r="75" spans="2:10" ht="15.75">
      <c r="B75" s="303" t="s">
        <v>163</v>
      </c>
      <c r="C75" s="391"/>
      <c r="D75" s="391"/>
      <c r="E75" s="95"/>
      <c r="G75" s="472">
        <f>G72-G74</f>
        <v>0</v>
      </c>
      <c r="H75" s="707" t="str">
        <f>CONCATENATE("Projected ",E1+1," carryover (est.)")</f>
        <v>Projected 1 carryover (est.)</v>
      </c>
      <c r="I75" s="448"/>
      <c r="J75" s="709"/>
    </row>
    <row r="76" spans="2:9" ht="15.75">
      <c r="B76" s="303" t="s">
        <v>644</v>
      </c>
      <c r="C76" s="392">
        <f>IF(C77*0.1&lt;C75,"Exceed 10% Rule","")</f>
      </c>
      <c r="D76" s="392">
        <f>IF(D77*0.1&lt;D75,"Exceed 10% Rule","")</f>
      </c>
      <c r="E76" s="330">
        <f>IF(E77*0.1&lt;E75,"Exceed 10% Rule","")</f>
      </c>
      <c r="G76" s="3"/>
      <c r="H76" s="3"/>
      <c r="I76" s="3"/>
    </row>
    <row r="77" spans="2:10" ht="15.75">
      <c r="B77" s="305" t="s">
        <v>280</v>
      </c>
      <c r="C77" s="395">
        <f>SUM(C68:C75)</f>
        <v>0</v>
      </c>
      <c r="D77" s="395">
        <f>SUM(D68:D75)</f>
        <v>0</v>
      </c>
      <c r="E77" s="307">
        <f>SUM(E68:E75)</f>
        <v>0</v>
      </c>
      <c r="G77" s="993" t="s">
        <v>867</v>
      </c>
      <c r="H77" s="994"/>
      <c r="I77" s="994"/>
      <c r="J77" s="995"/>
    </row>
    <row r="78" spans="2:10" ht="15.75">
      <c r="B78" s="137" t="s">
        <v>48</v>
      </c>
      <c r="C78" s="393">
        <f>C66-C77</f>
        <v>0</v>
      </c>
      <c r="D78" s="393">
        <f>D66-D77</f>
        <v>0</v>
      </c>
      <c r="E78" s="318" t="s">
        <v>254</v>
      </c>
      <c r="G78" s="665"/>
      <c r="H78" s="666"/>
      <c r="I78" s="667"/>
      <c r="J78" s="668"/>
    </row>
    <row r="79" spans="2:10" ht="15.75">
      <c r="B79" s="195" t="str">
        <f>CONCATENATE("",E1-2,"/",E1-1,"/",E1," Budget Authority Amount:")</f>
        <v>-2/-1/0 Budget Authority Amount:</v>
      </c>
      <c r="C79" s="326">
        <f>inputOth!B89</f>
        <v>0</v>
      </c>
      <c r="D79" s="326">
        <f>inputPrYr!D31</f>
        <v>0</v>
      </c>
      <c r="E79" s="297">
        <f>E77</f>
        <v>0</v>
      </c>
      <c r="F79" s="319"/>
      <c r="G79" s="669" t="str">
        <f>summ!H27</f>
        <v>  </v>
      </c>
      <c r="H79" s="666" t="str">
        <f>CONCATENATE("",E1," Fund Mill Rate")</f>
        <v>0 Fund Mill Rate</v>
      </c>
      <c r="I79" s="667"/>
      <c r="J79" s="668"/>
    </row>
    <row r="80" spans="2:10" ht="15.75">
      <c r="B80" s="161"/>
      <c r="C80" s="984" t="s">
        <v>649</v>
      </c>
      <c r="D80" s="985"/>
      <c r="E80" s="95"/>
      <c r="F80" s="736">
        <f>IF(E77/0.95-E77&lt;E80,"Exceeds 5%","")</f>
      </c>
      <c r="G80" s="670" t="str">
        <f>summ!E27</f>
        <v>  </v>
      </c>
      <c r="H80" s="666" t="str">
        <f>CONCATENATE("",E1-1," Fund Mill Rate")</f>
        <v>-1 Fund Mill Rate</v>
      </c>
      <c r="I80" s="667"/>
      <c r="J80" s="668"/>
    </row>
    <row r="81" spans="2:10" ht="15.75">
      <c r="B81" s="500" t="str">
        <f>CONCATENATE(C96,"     ",D96)</f>
        <v>     </v>
      </c>
      <c r="C81" s="986" t="s">
        <v>650</v>
      </c>
      <c r="D81" s="987"/>
      <c r="E81" s="297">
        <f>E77+E80</f>
        <v>0</v>
      </c>
      <c r="G81" s="671">
        <f>summ!H56</f>
        <v>0</v>
      </c>
      <c r="H81" s="666" t="str">
        <f>CONCATENATE("Total ",E1," Mill Rate")</f>
        <v>Total 0 Mill Rate</v>
      </c>
      <c r="I81" s="667"/>
      <c r="J81" s="668"/>
    </row>
    <row r="82" spans="2:10" ht="15.75">
      <c r="B82" s="500" t="str">
        <f>CONCATENATE(C97,"     ",D97)</f>
        <v>     </v>
      </c>
      <c r="C82" s="309"/>
      <c r="D82" s="191" t="s">
        <v>281</v>
      </c>
      <c r="E82" s="106">
        <f>IF(E81-E66&gt;0,E81-E66,0)</f>
        <v>0</v>
      </c>
      <c r="G82" s="670">
        <f>summ!E56</f>
        <v>0</v>
      </c>
      <c r="H82" s="672" t="str">
        <f>CONCATENATE("Total ",E1-1," Mill Rate")</f>
        <v>Total -1 Mill Rate</v>
      </c>
      <c r="I82" s="673"/>
      <c r="J82" s="674"/>
    </row>
    <row r="83" spans="2:5" ht="15.75">
      <c r="B83" s="191"/>
      <c r="C83" s="452" t="s">
        <v>651</v>
      </c>
      <c r="D83" s="721">
        <f>inputOth!$E$66</f>
        <v>0</v>
      </c>
      <c r="E83" s="297">
        <f>ROUND(IF(D83&gt;0,(E82*D83),0),0)</f>
        <v>0</v>
      </c>
    </row>
    <row r="84" spans="2:10" ht="16.5" thickBot="1">
      <c r="B84" s="81"/>
      <c r="C84" s="982" t="str">
        <f>CONCATENATE("Amount of  ",$E$1-1," Ad Valorem Tax")</f>
        <v>Amount of  -1 Ad Valorem Tax</v>
      </c>
      <c r="D84" s="983"/>
      <c r="E84" s="322">
        <f>E82+E83</f>
        <v>0</v>
      </c>
      <c r="G84" s="881" t="s">
        <v>1036</v>
      </c>
      <c r="H84" s="882"/>
      <c r="I84" s="884"/>
      <c r="J84" s="883" t="str">
        <f>cert!F57</f>
        <v>No</v>
      </c>
    </row>
    <row r="85" spans="2:10" ht="16.5" thickTop="1">
      <c r="B85" s="81"/>
      <c r="C85" s="81"/>
      <c r="D85" s="81"/>
      <c r="E85" s="81"/>
      <c r="G85" s="874" t="str">
        <f>CONCATENATE("Computed ",E1," tax levy limit amount")</f>
        <v>Computed 0 tax levy limit amount</v>
      </c>
      <c r="H85" s="873"/>
      <c r="I85" s="873"/>
      <c r="J85" s="870">
        <f>computation!J47</f>
        <v>0</v>
      </c>
    </row>
    <row r="86" spans="2:10" ht="15.75">
      <c r="B86" s="161" t="s">
        <v>283</v>
      </c>
      <c r="C86" s="839"/>
      <c r="D86" s="81"/>
      <c r="E86" s="81"/>
      <c r="G86" s="876" t="str">
        <f>CONCATENATE("Total ",E1," tax levy amount")</f>
        <v>Total 0 tax levy amount</v>
      </c>
      <c r="H86" s="652"/>
      <c r="I86" s="652"/>
      <c r="J86" s="869">
        <f>summ!G56</f>
        <v>0</v>
      </c>
    </row>
    <row r="94" spans="3:4" ht="15.75" hidden="1">
      <c r="C94" s="77">
        <f>IF(C35&gt;C37,"See Tab A","")</f>
      </c>
      <c r="D94" s="77">
        <f>IF(D35&gt;D37,"See Tab C","")</f>
      </c>
    </row>
    <row r="95" spans="3:4" ht="15.75" hidden="1">
      <c r="C95" s="77">
        <f>IF(C36&lt;0,"See Tab B","")</f>
      </c>
      <c r="D95" s="77">
        <f>IF(D36&lt;0,"See Tab D","")</f>
      </c>
    </row>
    <row r="96" spans="3:4" ht="15.75" hidden="1">
      <c r="C96" s="77">
        <f>IF(C77&gt;C79,"See Tab A","")</f>
      </c>
      <c r="D96" s="77">
        <f>IF(D77&gt;D79,"See Tab C","")</f>
      </c>
    </row>
    <row r="97" spans="3:4" ht="15.75" hidden="1">
      <c r="C97" s="77">
        <f>IF(C78&lt;0,"See Tab B","")</f>
      </c>
      <c r="D97" s="77">
        <f>IF(D78&lt;0,"See Tab D","")</f>
      </c>
    </row>
  </sheetData>
  <sheetProtection sheet="1"/>
  <mergeCells count="12">
    <mergeCell ref="G18:J18"/>
    <mergeCell ref="G25:J25"/>
    <mergeCell ref="G35:J35"/>
    <mergeCell ref="G60:J60"/>
    <mergeCell ref="G67:J67"/>
    <mergeCell ref="G77:J77"/>
    <mergeCell ref="C38:D38"/>
    <mergeCell ref="C39:D39"/>
    <mergeCell ref="C84:D84"/>
    <mergeCell ref="C42:D42"/>
    <mergeCell ref="C80:D80"/>
    <mergeCell ref="C81:D81"/>
  </mergeCells>
  <conditionalFormatting sqref="E75">
    <cfRule type="cellIs" priority="4" dxfId="326" operator="greaterThan" stopIfTrue="1">
      <formula>$E$77*0.1</formula>
    </cfRule>
  </conditionalFormatting>
  <conditionalFormatting sqref="E33">
    <cfRule type="cellIs" priority="5" dxfId="326" operator="greaterThan" stopIfTrue="1">
      <formula>$E$35*0.1</formula>
    </cfRule>
  </conditionalFormatting>
  <conditionalFormatting sqref="E38">
    <cfRule type="cellIs" priority="6" dxfId="326" operator="greaterThan" stopIfTrue="1">
      <formula>$E$35/0.95-$E$35</formula>
    </cfRule>
  </conditionalFormatting>
  <conditionalFormatting sqref="E80">
    <cfRule type="cellIs" priority="7" dxfId="326" operator="greaterThan" stopIfTrue="1">
      <formula>$E$77/0.95-$E$77</formula>
    </cfRule>
  </conditionalFormatting>
  <conditionalFormatting sqref="D75">
    <cfRule type="cellIs" priority="8" dxfId="1" operator="greaterThan" stopIfTrue="1">
      <formula>$D$77*0.1</formula>
    </cfRule>
  </conditionalFormatting>
  <conditionalFormatting sqref="C75">
    <cfRule type="cellIs" priority="9" dxfId="1" operator="greaterThan" stopIfTrue="1">
      <formula>$C$77*0.1</formula>
    </cfRule>
  </conditionalFormatting>
  <conditionalFormatting sqref="D77">
    <cfRule type="cellIs" priority="10" dxfId="1" operator="greaterThan" stopIfTrue="1">
      <formula>$D$79</formula>
    </cfRule>
  </conditionalFormatting>
  <conditionalFormatting sqref="C77">
    <cfRule type="cellIs" priority="11" dxfId="1" operator="greaterThan" stopIfTrue="1">
      <formula>$C$79</formula>
    </cfRule>
  </conditionalFormatting>
  <conditionalFormatting sqref="C78 C36">
    <cfRule type="cellIs" priority="12" dxfId="1" operator="lessThan" stopIfTrue="1">
      <formula>0</formula>
    </cfRule>
  </conditionalFormatting>
  <conditionalFormatting sqref="D63">
    <cfRule type="cellIs" priority="13" dxfId="1" operator="greaterThan" stopIfTrue="1">
      <formula>$D$65*0.1</formula>
    </cfRule>
  </conditionalFormatting>
  <conditionalFormatting sqref="C63">
    <cfRule type="cellIs" priority="14" dxfId="1" operator="greaterThan" stopIfTrue="1">
      <formula>$C$65*0.1</formula>
    </cfRule>
  </conditionalFormatting>
  <conditionalFormatting sqref="D33">
    <cfRule type="cellIs" priority="15" dxfId="1" operator="greaterThan" stopIfTrue="1">
      <formula>$D$35*0.1</formula>
    </cfRule>
  </conditionalFormatting>
  <conditionalFormatting sqref="D35">
    <cfRule type="cellIs" priority="17" dxfId="1" operator="greaterThan" stopIfTrue="1">
      <formula>$D$37</formula>
    </cfRule>
  </conditionalFormatting>
  <conditionalFormatting sqref="C35">
    <cfRule type="cellIs" priority="18" dxfId="1" operator="greaterThan" stopIfTrue="1">
      <formula>$C$37</formula>
    </cfRule>
  </conditionalFormatting>
  <conditionalFormatting sqref="D21">
    <cfRule type="cellIs" priority="19" dxfId="1" operator="greaterThan" stopIfTrue="1">
      <formula>$D$23*0.1</formula>
    </cfRule>
  </conditionalFormatting>
  <conditionalFormatting sqref="C21">
    <cfRule type="cellIs" priority="20" dxfId="1" operator="greaterThan" stopIfTrue="1">
      <formula>$C$23*0.1</formula>
    </cfRule>
  </conditionalFormatting>
  <conditionalFormatting sqref="D78 D36">
    <cfRule type="cellIs" priority="3" dxfId="0" operator="lessThan" stopIfTrue="1">
      <formula>0</formula>
    </cfRule>
  </conditionalFormatting>
  <conditionalFormatting sqref="C33">
    <cfRule type="cellIs" priority="1" dxfId="0" operator="greaterThan" stopIfTrue="1">
      <formula>$C$35*0.1</formula>
    </cfRule>
  </conditionalFormatting>
  <conditionalFormatting sqref="E21">
    <cfRule type="cellIs" priority="63" dxfId="326" operator="greaterThan" stopIfTrue="1">
      <formula>$E$23*0.1+$E$42</formula>
    </cfRule>
  </conditionalFormatting>
  <conditionalFormatting sqref="E63">
    <cfRule type="cellIs" priority="64" dxfId="326" operator="greaterThan" stopIfTrue="1">
      <formula>$E$65*0.1+$E$84</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51" sqref="Q151"/>
    </sheetView>
  </sheetViews>
  <sheetFormatPr defaultColWidth="8.796875" defaultRowHeight="15"/>
  <cols>
    <col min="1" max="1" width="2.3984375" style="77" customWidth="1"/>
    <col min="2" max="2" width="31.3984375" style="77" customWidth="1"/>
    <col min="3" max="4" width="15.796875" style="77" customWidth="1"/>
    <col min="5" max="5" width="16.19921875" style="77" customWidth="1"/>
    <col min="6" max="6" width="8.09765625" style="77" customWidth="1"/>
    <col min="7" max="7" width="10.19921875" style="77" customWidth="1"/>
    <col min="8" max="8" width="8.8984375" style="77" customWidth="1"/>
    <col min="9" max="9" width="5.5976562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293" t="s">
        <v>6</v>
      </c>
      <c r="C3" s="211"/>
      <c r="D3" s="211"/>
      <c r="E3" s="317"/>
    </row>
    <row r="4" spans="2:5" ht="15.75">
      <c r="B4" s="84" t="s">
        <v>264</v>
      </c>
      <c r="C4" s="573" t="s">
        <v>781</v>
      </c>
      <c r="D4" s="574" t="s">
        <v>782</v>
      </c>
      <c r="E4" s="168" t="s">
        <v>783</v>
      </c>
    </row>
    <row r="5" spans="2:5" ht="15.75">
      <c r="B5" s="520">
        <f>inputPrYr!B32</f>
        <v>0</v>
      </c>
      <c r="C5" s="399" t="str">
        <f>CONCATENATE("Actual for ",E1-2,"")</f>
        <v>Actual for -2</v>
      </c>
      <c r="D5" s="399" t="str">
        <f>CONCATENATE("Estimate for ",E1-1,"")</f>
        <v>Estimate for -1</v>
      </c>
      <c r="E5" s="218" t="str">
        <f>CONCATENATE("Year for ",E1,"")</f>
        <v>Year for 0</v>
      </c>
    </row>
    <row r="6" spans="2:5" ht="15.75">
      <c r="B6" s="311" t="s">
        <v>47</v>
      </c>
      <c r="C6" s="391"/>
      <c r="D6" s="396">
        <f>C36</f>
        <v>0</v>
      </c>
      <c r="E6" s="297">
        <f>D36</f>
        <v>0</v>
      </c>
    </row>
    <row r="7" spans="2:5" ht="15.75">
      <c r="B7" s="312" t="s">
        <v>49</v>
      </c>
      <c r="C7" s="182"/>
      <c r="D7" s="182"/>
      <c r="E7" s="109"/>
    </row>
    <row r="8" spans="2:5" ht="15.75">
      <c r="B8" s="137" t="s">
        <v>265</v>
      </c>
      <c r="C8" s="391"/>
      <c r="D8" s="396">
        <f>IF(inputPrYr!H21&gt;0,inputPrYr!G32,inputPrYr!E32)</f>
        <v>0</v>
      </c>
      <c r="E8" s="318" t="s">
        <v>254</v>
      </c>
    </row>
    <row r="9" spans="2:5" ht="15.75">
      <c r="B9" s="137" t="s">
        <v>266</v>
      </c>
      <c r="C9" s="391"/>
      <c r="D9" s="391"/>
      <c r="E9" s="95"/>
    </row>
    <row r="10" spans="2:5" ht="15.75">
      <c r="B10" s="137" t="s">
        <v>267</v>
      </c>
      <c r="C10" s="391"/>
      <c r="D10" s="391"/>
      <c r="E10" s="297" t="str">
        <f>mvalloc!D17</f>
        <v>  </v>
      </c>
    </row>
    <row r="11" spans="2:5" ht="15.75">
      <c r="B11" s="137" t="s">
        <v>268</v>
      </c>
      <c r="C11" s="391"/>
      <c r="D11" s="391"/>
      <c r="E11" s="297" t="str">
        <f>mvalloc!E17</f>
        <v> </v>
      </c>
    </row>
    <row r="12" spans="2:5" ht="15.75">
      <c r="B12" s="182" t="s">
        <v>37</v>
      </c>
      <c r="C12" s="391"/>
      <c r="D12" s="391"/>
      <c r="E12" s="297" t="str">
        <f>mvalloc!F17</f>
        <v> </v>
      </c>
    </row>
    <row r="13" spans="2:5" ht="15.75">
      <c r="B13" s="327" t="s">
        <v>1023</v>
      </c>
      <c r="C13" s="391"/>
      <c r="D13" s="391"/>
      <c r="E13" s="297" t="str">
        <f>mvalloc!G17</f>
        <v> </v>
      </c>
    </row>
    <row r="14" spans="2:5" ht="15.75">
      <c r="B14" s="327" t="s">
        <v>1024</v>
      </c>
      <c r="C14" s="391"/>
      <c r="D14" s="391"/>
      <c r="E14" s="297" t="str">
        <f>mvalloc!H17</f>
        <v> </v>
      </c>
    </row>
    <row r="15" spans="2:5" ht="15.75">
      <c r="B15" s="299"/>
      <c r="C15" s="391"/>
      <c r="D15" s="391"/>
      <c r="E15" s="95"/>
    </row>
    <row r="16" spans="2:5" ht="15.75">
      <c r="B16" s="299"/>
      <c r="C16" s="391"/>
      <c r="D16" s="391"/>
      <c r="E16" s="95"/>
    </row>
    <row r="17" spans="2:5" ht="15.75">
      <c r="B17" s="299"/>
      <c r="C17" s="391"/>
      <c r="D17" s="391"/>
      <c r="E17" s="95"/>
    </row>
    <row r="18" spans="2:10" ht="15.75">
      <c r="B18" s="299"/>
      <c r="C18" s="391"/>
      <c r="D18" s="391"/>
      <c r="E18" s="95"/>
      <c r="G18" s="996" t="str">
        <f>CONCATENATE("Desired Carryover Into ",E1+1,"")</f>
        <v>Desired Carryover Into 1</v>
      </c>
      <c r="H18" s="991"/>
      <c r="I18" s="991"/>
      <c r="J18" s="992"/>
    </row>
    <row r="19" spans="2:10" ht="15.75">
      <c r="B19" s="313" t="s">
        <v>272</v>
      </c>
      <c r="C19" s="391"/>
      <c r="D19" s="391"/>
      <c r="E19" s="95"/>
      <c r="G19" s="678"/>
      <c r="H19" s="450"/>
      <c r="I19" s="679"/>
      <c r="J19" s="680"/>
    </row>
    <row r="20" spans="2:10" ht="15.75">
      <c r="B20" s="303" t="s">
        <v>162</v>
      </c>
      <c r="C20" s="391"/>
      <c r="D20" s="391"/>
      <c r="E20" s="333">
        <f>nhood!E15*-1</f>
        <v>0</v>
      </c>
      <c r="G20" s="681" t="s">
        <v>652</v>
      </c>
      <c r="H20" s="679"/>
      <c r="I20" s="679"/>
      <c r="J20" s="682">
        <v>0</v>
      </c>
    </row>
    <row r="21" spans="2:10" ht="15.75">
      <c r="B21" s="303" t="s">
        <v>163</v>
      </c>
      <c r="C21" s="391"/>
      <c r="D21" s="391"/>
      <c r="E21" s="95"/>
      <c r="G21" s="678" t="s">
        <v>653</v>
      </c>
      <c r="H21" s="450"/>
      <c r="I21" s="450"/>
      <c r="J21" s="699">
        <f>IF(J20=0,"",ROUND((J20+E42-G33)/inputOth!B14*1000,3)-G38)</f>
      </c>
    </row>
    <row r="22" spans="2:10" ht="15.75">
      <c r="B22" s="303" t="s">
        <v>165</v>
      </c>
      <c r="C22" s="392">
        <f>IF(C23*0.1&lt;C21,"Exceed 10% Rule","")</f>
      </c>
      <c r="D22" s="392">
        <f>IF(D23*0.1&lt;D21,"Exceed 10% Rule","")</f>
      </c>
      <c r="E22" s="330">
        <f>IF(E23*0.1+E42&lt;E21,"Exceed 10% Rule","")</f>
      </c>
      <c r="G22" s="684" t="str">
        <f>CONCATENATE("",E1," Tot Exp/Non-Appr Must Be:")</f>
        <v>0 Tot Exp/Non-Appr Must Be:</v>
      </c>
      <c r="H22" s="685"/>
      <c r="I22" s="686"/>
      <c r="J22" s="687">
        <f>IF(J20&gt;0,IF(E39&lt;E24,IF(J20=G33,E39,((J20-G33)*(1-D41))+E24),E39+(J20-G33)),0)</f>
        <v>0</v>
      </c>
    </row>
    <row r="23" spans="2:10" ht="15.75">
      <c r="B23" s="305" t="s">
        <v>273</v>
      </c>
      <c r="C23" s="395">
        <f>SUM(C8:C21)</f>
        <v>0</v>
      </c>
      <c r="D23" s="395">
        <f>SUM(D8:D21)</f>
        <v>0</v>
      </c>
      <c r="E23" s="307">
        <f>SUM(E8:E21)</f>
        <v>0</v>
      </c>
      <c r="G23" s="651" t="s">
        <v>866</v>
      </c>
      <c r="H23" s="688"/>
      <c r="I23" s="688"/>
      <c r="J23" s="653">
        <f>IF(J20&gt;0,J22-E39,0)</f>
        <v>0</v>
      </c>
    </row>
    <row r="24" spans="2:10" ht="15.75">
      <c r="B24" s="305" t="s">
        <v>274</v>
      </c>
      <c r="C24" s="395">
        <f>C6+C23</f>
        <v>0</v>
      </c>
      <c r="D24" s="395">
        <f>D6+D23</f>
        <v>0</v>
      </c>
      <c r="E24" s="307">
        <f>E6+E23</f>
        <v>0</v>
      </c>
      <c r="J24" s="3"/>
    </row>
    <row r="25" spans="2:10" ht="15.75">
      <c r="B25" s="137" t="s">
        <v>276</v>
      </c>
      <c r="C25" s="303"/>
      <c r="D25" s="303"/>
      <c r="E25" s="94"/>
      <c r="G25" s="996" t="str">
        <f>CONCATENATE("Projected Carryover Into ",E1+1,"")</f>
        <v>Projected Carryover Into 1</v>
      </c>
      <c r="H25" s="998"/>
      <c r="I25" s="998"/>
      <c r="J25" s="1000"/>
    </row>
    <row r="26" spans="2:10" ht="15.75">
      <c r="B26" s="299"/>
      <c r="C26" s="391"/>
      <c r="D26" s="391"/>
      <c r="E26" s="95"/>
      <c r="G26" s="678"/>
      <c r="H26" s="679"/>
      <c r="I26" s="679"/>
      <c r="J26" s="700"/>
    </row>
    <row r="27" spans="2:10" ht="15.75">
      <c r="B27" s="299"/>
      <c r="C27" s="391"/>
      <c r="D27" s="391"/>
      <c r="E27" s="95"/>
      <c r="G27" s="701">
        <f>D36</f>
        <v>0</v>
      </c>
      <c r="H27" s="666" t="str">
        <f>CONCATENATE("",E1-1," Ending Cash Balance (est.)")</f>
        <v>-1 Ending Cash Balance (est.)</v>
      </c>
      <c r="I27" s="702"/>
      <c r="J27" s="700"/>
    </row>
    <row r="28" spans="2:10" ht="15.75">
      <c r="B28" s="299"/>
      <c r="C28" s="391"/>
      <c r="D28" s="391"/>
      <c r="E28" s="95"/>
      <c r="G28" s="701">
        <f>E23</f>
        <v>0</v>
      </c>
      <c r="H28" s="679" t="str">
        <f>CONCATENATE("",E1," Non-AV Receipts (est.)")</f>
        <v>0 Non-AV Receipts (est.)</v>
      </c>
      <c r="I28" s="702"/>
      <c r="J28" s="700"/>
    </row>
    <row r="29" spans="2:11" ht="15.75">
      <c r="B29" s="299"/>
      <c r="C29" s="391"/>
      <c r="D29" s="391"/>
      <c r="E29" s="95"/>
      <c r="G29" s="703">
        <f>IF(E41&gt;0,E40,E42)</f>
        <v>0</v>
      </c>
      <c r="H29" s="679" t="str">
        <f>CONCATENATE("",E1," Ad Valorem Tax (est.)")</f>
        <v>0 Ad Valorem Tax (est.)</v>
      </c>
      <c r="I29" s="702"/>
      <c r="J29" s="704"/>
      <c r="K29" s="694">
        <f>IF(G29=E42,"","Note: Does not include Delinquent Taxes")</f>
      </c>
    </row>
    <row r="30" spans="2:10" ht="15.75">
      <c r="B30" s="299"/>
      <c r="C30" s="391"/>
      <c r="D30" s="391"/>
      <c r="E30" s="95"/>
      <c r="G30" s="701">
        <f>SUM(G27:G29)</f>
        <v>0</v>
      </c>
      <c r="H30" s="679" t="str">
        <f>CONCATENATE("Total ",E1," Resources Available")</f>
        <v>Total 0 Resources Available</v>
      </c>
      <c r="I30" s="702"/>
      <c r="J30" s="700"/>
    </row>
    <row r="31" spans="2:10" ht="15.75">
      <c r="B31" s="299"/>
      <c r="C31" s="391"/>
      <c r="D31" s="391"/>
      <c r="E31" s="95"/>
      <c r="G31" s="705"/>
      <c r="H31" s="679"/>
      <c r="I31" s="679"/>
      <c r="J31" s="700"/>
    </row>
    <row r="32" spans="2:10" ht="15.75">
      <c r="B32" s="303" t="str">
        <f>CONCATENATE("Cash Forward (",E1," column)")</f>
        <v>Cash Forward (0 column)</v>
      </c>
      <c r="C32" s="391"/>
      <c r="D32" s="391"/>
      <c r="E32" s="95"/>
      <c r="G32" s="703">
        <f>ROUND(C35*0.05+C35,0)</f>
        <v>0</v>
      </c>
      <c r="H32" s="679" t="str">
        <f>CONCATENATE("Less ",E1-2," Expenditures + 5%")</f>
        <v>Less -2 Expenditures + 5%</v>
      </c>
      <c r="I32" s="702"/>
      <c r="J32" s="700"/>
    </row>
    <row r="33" spans="2:10" ht="15.75">
      <c r="B33" s="303" t="s">
        <v>163</v>
      </c>
      <c r="C33" s="391"/>
      <c r="D33" s="391"/>
      <c r="E33" s="95"/>
      <c r="G33" s="706">
        <f>G30-G32</f>
        <v>0</v>
      </c>
      <c r="H33" s="707" t="str">
        <f>CONCATENATE("Projected ",E1+1," carryover (est.)")</f>
        <v>Projected 1 carryover (est.)</v>
      </c>
      <c r="I33" s="708"/>
      <c r="J33" s="709"/>
    </row>
    <row r="34" spans="2:10" ht="15.75">
      <c r="B34" s="303" t="s">
        <v>164</v>
      </c>
      <c r="C34" s="392">
        <f>IF(C35*0.1&lt;C33,"Exceed 10% Rule","")</f>
      </c>
      <c r="D34" s="392">
        <f>IF(D35*0.1&lt;D33,"Exceed 10% Rule","")</f>
      </c>
      <c r="E34" s="330">
        <f>IF(E35*0.1&lt;E33,"Exceed 10% Rule","")</f>
      </c>
      <c r="G34" s="3"/>
      <c r="H34" s="3"/>
      <c r="I34" s="3"/>
      <c r="J34" s="3"/>
    </row>
    <row r="35" spans="2:10" ht="15.75">
      <c r="B35" s="305" t="s">
        <v>280</v>
      </c>
      <c r="C35" s="395">
        <f>SUM(C26:C33)</f>
        <v>0</v>
      </c>
      <c r="D35" s="395">
        <f>SUM(D26:D33)</f>
        <v>0</v>
      </c>
      <c r="E35" s="307">
        <f>SUM(E26:E33)</f>
        <v>0</v>
      </c>
      <c r="G35" s="993" t="s">
        <v>867</v>
      </c>
      <c r="H35" s="994"/>
      <c r="I35" s="994"/>
      <c r="J35" s="995"/>
    </row>
    <row r="36" spans="2:10" ht="15.75">
      <c r="B36" s="137" t="s">
        <v>48</v>
      </c>
      <c r="C36" s="393">
        <f>C24-C35</f>
        <v>0</v>
      </c>
      <c r="D36" s="393">
        <f>D24-D35</f>
        <v>0</v>
      </c>
      <c r="E36" s="318" t="s">
        <v>254</v>
      </c>
      <c r="G36" s="665"/>
      <c r="H36" s="666"/>
      <c r="I36" s="667"/>
      <c r="J36" s="668"/>
    </row>
    <row r="37" spans="2:10" ht="15.75">
      <c r="B37" s="195" t="str">
        <f>CONCATENATE("",E1-2,"/",E1-1,"/",E1," Budget Authority Amount:")</f>
        <v>-2/-1/0 Budget Authority Amount:</v>
      </c>
      <c r="C37" s="326">
        <f>inputOth!B90</f>
        <v>0</v>
      </c>
      <c r="D37" s="326">
        <f>inputPrYr!D32</f>
        <v>0</v>
      </c>
      <c r="E37" s="297">
        <f>E35</f>
        <v>0</v>
      </c>
      <c r="F37" s="319"/>
      <c r="G37" s="669" t="str">
        <f>summ!H28</f>
        <v>  </v>
      </c>
      <c r="H37" s="666" t="str">
        <f>CONCATENATE("",E1," Fund Mill Rate")</f>
        <v>0 Fund Mill Rate</v>
      </c>
      <c r="I37" s="667"/>
      <c r="J37" s="668"/>
    </row>
    <row r="38" spans="2:10" ht="15.75">
      <c r="B38" s="161"/>
      <c r="C38" s="984" t="s">
        <v>649</v>
      </c>
      <c r="D38" s="985"/>
      <c r="E38" s="95"/>
      <c r="F38" s="736">
        <f>IF(E35/0.95-E35&lt;E38,"Exceeds 5%","")</f>
      </c>
      <c r="G38" s="670" t="str">
        <f>summ!E28</f>
        <v>  </v>
      </c>
      <c r="H38" s="666" t="str">
        <f>CONCATENATE("",E1-1," Fund Mill Rate")</f>
        <v>-1 Fund Mill Rate</v>
      </c>
      <c r="I38" s="667"/>
      <c r="J38" s="668"/>
    </row>
    <row r="39" spans="2:10" ht="15.75">
      <c r="B39" s="500" t="str">
        <f>CONCATENATE(C94,"     ",D94)</f>
        <v>     </v>
      </c>
      <c r="C39" s="986" t="s">
        <v>650</v>
      </c>
      <c r="D39" s="987"/>
      <c r="E39" s="297">
        <f>E35+E38</f>
        <v>0</v>
      </c>
      <c r="G39" s="671">
        <f>summ!H56</f>
        <v>0</v>
      </c>
      <c r="H39" s="666" t="str">
        <f>CONCATENATE("Total ",E1," Mill Rate")</f>
        <v>Total 0 Mill Rate</v>
      </c>
      <c r="I39" s="667"/>
      <c r="J39" s="668"/>
    </row>
    <row r="40" spans="2:10" ht="15.75">
      <c r="B40" s="500" t="str">
        <f>CONCATENATE(C95,"     ",D95)</f>
        <v>     </v>
      </c>
      <c r="C40" s="309"/>
      <c r="D40" s="191" t="s">
        <v>281</v>
      </c>
      <c r="E40" s="106">
        <f>IF(E39-E24&gt;0,E39-E24,0)</f>
        <v>0</v>
      </c>
      <c r="G40" s="670">
        <f>summ!E56</f>
        <v>0</v>
      </c>
      <c r="H40" s="672" t="str">
        <f>CONCATENATE("Total ",E1-1," Mill Rate")</f>
        <v>Total -1 Mill Rate</v>
      </c>
      <c r="I40" s="673"/>
      <c r="J40" s="674"/>
    </row>
    <row r="41" spans="2:5" ht="15.75">
      <c r="B41" s="161"/>
      <c r="C41" s="452" t="s">
        <v>651</v>
      </c>
      <c r="D41" s="721">
        <f>inputOth!$E$66</f>
        <v>0</v>
      </c>
      <c r="E41" s="297">
        <f>ROUND(IF(D41&gt;0,(E40*D41),0),0)</f>
        <v>0</v>
      </c>
    </row>
    <row r="42" spans="2:10" ht="16.5" thickBot="1">
      <c r="B42" s="191"/>
      <c r="C42" s="982" t="str">
        <f>CONCATENATE("Amount of  ",$E$1-1," Ad Valorem Tax")</f>
        <v>Amount of  -1 Ad Valorem Tax</v>
      </c>
      <c r="D42" s="983"/>
      <c r="E42" s="322">
        <f>E40+E41</f>
        <v>0</v>
      </c>
      <c r="G42" s="881" t="s">
        <v>1036</v>
      </c>
      <c r="H42" s="882"/>
      <c r="I42" s="884"/>
      <c r="J42" s="883" t="str">
        <f>cert!F57</f>
        <v>No</v>
      </c>
    </row>
    <row r="43" spans="2:10" ht="16.5" thickTop="1">
      <c r="B43" s="191"/>
      <c r="C43" s="397"/>
      <c r="D43" s="191"/>
      <c r="E43" s="191"/>
      <c r="G43" s="874" t="str">
        <f>CONCATENATE("Computed ",E1," tax levy limit amount")</f>
        <v>Computed 0 tax levy limit amount</v>
      </c>
      <c r="H43" s="885"/>
      <c r="I43" s="885"/>
      <c r="J43" s="870">
        <f>computation!J47</f>
        <v>0</v>
      </c>
    </row>
    <row r="44" spans="2:10" ht="15.75">
      <c r="B44" s="84"/>
      <c r="C44" s="166"/>
      <c r="D44" s="166"/>
      <c r="E44" s="166"/>
      <c r="G44" s="876" t="str">
        <f>CONCATENATE("Total ",E1," tax levy amount")</f>
        <v>Total 0 tax levy amount</v>
      </c>
      <c r="H44" s="886"/>
      <c r="I44" s="886"/>
      <c r="J44" s="869">
        <f>summ!G56</f>
        <v>0</v>
      </c>
    </row>
    <row r="45" spans="2:5" ht="15.75">
      <c r="B45" s="84" t="s">
        <v>264</v>
      </c>
      <c r="C45" s="573" t="s">
        <v>781</v>
      </c>
      <c r="D45" s="574" t="s">
        <v>784</v>
      </c>
      <c r="E45" s="168" t="s">
        <v>783</v>
      </c>
    </row>
    <row r="46" spans="2:5" ht="15.75">
      <c r="B46" s="520">
        <f>inputPrYr!B33</f>
        <v>0</v>
      </c>
      <c r="C46" s="399" t="str">
        <f>C5</f>
        <v>Actual for -2</v>
      </c>
      <c r="D46" s="399" t="str">
        <f>D5</f>
        <v>Estimate for -1</v>
      </c>
      <c r="E46" s="218" t="str">
        <f>E5</f>
        <v>Year for 0</v>
      </c>
    </row>
    <row r="47" spans="2:5" ht="15.75">
      <c r="B47" s="311" t="s">
        <v>47</v>
      </c>
      <c r="C47" s="391"/>
      <c r="D47" s="396">
        <f>C78</f>
        <v>0</v>
      </c>
      <c r="E47" s="297">
        <f>D78</f>
        <v>0</v>
      </c>
    </row>
    <row r="48" spans="2:5" ht="15.75">
      <c r="B48" s="312" t="s">
        <v>49</v>
      </c>
      <c r="C48" s="182"/>
      <c r="D48" s="182"/>
      <c r="E48" s="109"/>
    </row>
    <row r="49" spans="2:5" ht="15.75">
      <c r="B49" s="137" t="s">
        <v>265</v>
      </c>
      <c r="C49" s="391"/>
      <c r="D49" s="396">
        <f>IF(inputPrYr!H21&gt;0,inputPrYr!G33,inputPrYr!E33)</f>
        <v>0</v>
      </c>
      <c r="E49" s="318" t="s">
        <v>254</v>
      </c>
    </row>
    <row r="50" spans="2:5" ht="15.75">
      <c r="B50" s="137" t="s">
        <v>266</v>
      </c>
      <c r="C50" s="391"/>
      <c r="D50" s="391"/>
      <c r="E50" s="95"/>
    </row>
    <row r="51" spans="2:5" ht="15.75">
      <c r="B51" s="137" t="s">
        <v>267</v>
      </c>
      <c r="C51" s="391"/>
      <c r="D51" s="391"/>
      <c r="E51" s="297" t="str">
        <f>mvalloc!D18</f>
        <v>  </v>
      </c>
    </row>
    <row r="52" spans="2:5" ht="15.75">
      <c r="B52" s="137" t="s">
        <v>268</v>
      </c>
      <c r="C52" s="391"/>
      <c r="D52" s="391"/>
      <c r="E52" s="297" t="str">
        <f>mvalloc!E18</f>
        <v> </v>
      </c>
    </row>
    <row r="53" spans="2:5" ht="15.75">
      <c r="B53" s="182" t="s">
        <v>37</v>
      </c>
      <c r="C53" s="391"/>
      <c r="D53" s="391"/>
      <c r="E53" s="297" t="str">
        <f>mvalloc!F18</f>
        <v> </v>
      </c>
    </row>
    <row r="54" spans="2:5" ht="15.75">
      <c r="B54" s="327" t="s">
        <v>1023</v>
      </c>
      <c r="C54" s="391"/>
      <c r="D54" s="391"/>
      <c r="E54" s="297" t="str">
        <f>mvalloc!G18</f>
        <v> </v>
      </c>
    </row>
    <row r="55" spans="2:5" ht="15.75">
      <c r="B55" s="327" t="s">
        <v>1024</v>
      </c>
      <c r="C55" s="391"/>
      <c r="D55" s="391"/>
      <c r="E55" s="297" t="str">
        <f>mvalloc!H18</f>
        <v> </v>
      </c>
    </row>
    <row r="56" spans="2:5" ht="15.75">
      <c r="B56" s="498"/>
      <c r="C56" s="391"/>
      <c r="D56" s="391"/>
      <c r="E56" s="95"/>
    </row>
    <row r="57" spans="2:5" ht="15.75">
      <c r="B57" s="498"/>
      <c r="C57" s="391"/>
      <c r="D57" s="391"/>
      <c r="E57" s="95"/>
    </row>
    <row r="58" spans="2:5" ht="15.75">
      <c r="B58" s="498"/>
      <c r="C58" s="391"/>
      <c r="D58" s="391"/>
      <c r="E58" s="95"/>
    </row>
    <row r="59" spans="2:5" ht="15.75">
      <c r="B59" s="498"/>
      <c r="C59" s="391"/>
      <c r="D59" s="391"/>
      <c r="E59" s="95"/>
    </row>
    <row r="60" spans="2:10" ht="15.75">
      <c r="B60" s="299"/>
      <c r="C60" s="391"/>
      <c r="D60" s="391"/>
      <c r="E60" s="95"/>
      <c r="G60" s="996" t="str">
        <f>CONCATENATE("Desired Carryover Into ",E1+1,"")</f>
        <v>Desired Carryover Into 1</v>
      </c>
      <c r="H60" s="991"/>
      <c r="I60" s="991"/>
      <c r="J60" s="992"/>
    </row>
    <row r="61" spans="2:10" ht="15.75">
      <c r="B61" s="313" t="s">
        <v>272</v>
      </c>
      <c r="C61" s="391"/>
      <c r="D61" s="391"/>
      <c r="E61" s="95"/>
      <c r="G61" s="678"/>
      <c r="H61" s="450"/>
      <c r="I61" s="679"/>
      <c r="J61" s="680"/>
    </row>
    <row r="62" spans="2:10" ht="15.75">
      <c r="B62" s="303" t="s">
        <v>162</v>
      </c>
      <c r="C62" s="391"/>
      <c r="D62" s="391"/>
      <c r="E62" s="333">
        <f>nhood!E16*-1</f>
        <v>0</v>
      </c>
      <c r="G62" s="681" t="s">
        <v>652</v>
      </c>
      <c r="H62" s="679"/>
      <c r="I62" s="679"/>
      <c r="J62" s="682">
        <v>0</v>
      </c>
    </row>
    <row r="63" spans="2:10" ht="15.75">
      <c r="B63" s="303" t="s">
        <v>163</v>
      </c>
      <c r="C63" s="391"/>
      <c r="D63" s="391"/>
      <c r="E63" s="95"/>
      <c r="G63" s="678" t="s">
        <v>653</v>
      </c>
      <c r="H63" s="450"/>
      <c r="I63" s="450"/>
      <c r="J63" s="699">
        <f>IF(J62=0,"",ROUND((J62+E84-G75)/inputOth!B14*1000,3)-G80)</f>
      </c>
    </row>
    <row r="64" spans="2:10" ht="15.75">
      <c r="B64" s="303" t="s">
        <v>645</v>
      </c>
      <c r="C64" s="392">
        <f>IF(C65*0.1&lt;C63,"Exceed 10% Rule","")</f>
      </c>
      <c r="D64" s="392">
        <f>IF(D65*0.1&lt;D63,"Exceed 10% Rule","")</f>
      </c>
      <c r="E64" s="330">
        <f>IF(E65*0.1+E84&lt;E63,"Exceed 10% Rule","")</f>
      </c>
      <c r="G64" s="684" t="str">
        <f>CONCATENATE("",E1," Tot Exp/Non-Appr Must Be:")</f>
        <v>0 Tot Exp/Non-Appr Must Be:</v>
      </c>
      <c r="H64" s="685"/>
      <c r="I64" s="686"/>
      <c r="J64" s="687">
        <f>IF(J62&gt;0,IF(E81&lt;E66,IF(J62=G75,E81,((J62-G75)*(1-D83))+E66),E81+(J62-G75)),0)</f>
        <v>0</v>
      </c>
    </row>
    <row r="65" spans="2:10" ht="15.75">
      <c r="B65" s="305" t="s">
        <v>273</v>
      </c>
      <c r="C65" s="395">
        <f>SUM(C49:C63)</f>
        <v>0</v>
      </c>
      <c r="D65" s="395">
        <f>SUM(D49:D63)</f>
        <v>0</v>
      </c>
      <c r="E65" s="307">
        <f>SUM(E49:E63)</f>
        <v>0</v>
      </c>
      <c r="G65" s="651" t="s">
        <v>866</v>
      </c>
      <c r="H65" s="688"/>
      <c r="I65" s="688"/>
      <c r="J65" s="653">
        <f>IF(J62&gt;0,J64-E81,0)</f>
        <v>0</v>
      </c>
    </row>
    <row r="66" spans="2:10" ht="15.75">
      <c r="B66" s="305" t="s">
        <v>274</v>
      </c>
      <c r="C66" s="395">
        <f>C47+C65</f>
        <v>0</v>
      </c>
      <c r="D66" s="395">
        <f>D47+D65</f>
        <v>0</v>
      </c>
      <c r="E66" s="307">
        <f>E47+E65</f>
        <v>0</v>
      </c>
      <c r="J66" s="3"/>
    </row>
    <row r="67" spans="2:10" ht="15.75">
      <c r="B67" s="137" t="s">
        <v>276</v>
      </c>
      <c r="C67" s="303"/>
      <c r="D67" s="303"/>
      <c r="E67" s="94"/>
      <c r="G67" s="996" t="str">
        <f>CONCATENATE("Projected Carryover Into ",E1+1,"")</f>
        <v>Projected Carryover Into 1</v>
      </c>
      <c r="H67" s="999"/>
      <c r="I67" s="999"/>
      <c r="J67" s="1000"/>
    </row>
    <row r="68" spans="2:10" ht="15.75">
      <c r="B68" s="299"/>
      <c r="C68" s="391"/>
      <c r="D68" s="391"/>
      <c r="E68" s="95"/>
      <c r="G68" s="451"/>
      <c r="H68" s="450"/>
      <c r="I68" s="450"/>
      <c r="J68" s="449"/>
    </row>
    <row r="69" spans="2:10" ht="15.75">
      <c r="B69" s="299"/>
      <c r="C69" s="391"/>
      <c r="D69" s="391"/>
      <c r="E69" s="95"/>
      <c r="G69" s="701">
        <f>D78</f>
        <v>0</v>
      </c>
      <c r="H69" s="666" t="str">
        <f>CONCATENATE("",E1-1," Ending Cash Balance (est.)")</f>
        <v>-1 Ending Cash Balance (est.)</v>
      </c>
      <c r="I69" s="702"/>
      <c r="J69" s="449"/>
    </row>
    <row r="70" spans="2:10" ht="15.75">
      <c r="B70" s="299"/>
      <c r="C70" s="391"/>
      <c r="D70" s="391"/>
      <c r="E70" s="95"/>
      <c r="G70" s="701">
        <f>E65</f>
        <v>0</v>
      </c>
      <c r="H70" s="679" t="str">
        <f>CONCATENATE("",E1," Non-AV Receipts (est.)")</f>
        <v>0 Non-AV Receipts (est.)</v>
      </c>
      <c r="I70" s="702"/>
      <c r="J70" s="449"/>
    </row>
    <row r="71" spans="2:11" ht="15.75">
      <c r="B71" s="299"/>
      <c r="C71" s="391"/>
      <c r="D71" s="391"/>
      <c r="E71" s="95"/>
      <c r="G71" s="703">
        <f>IF(D83&gt;0,E82,E84)</f>
        <v>0</v>
      </c>
      <c r="H71" s="679" t="str">
        <f>CONCATENATE("",E1," Ad Valorem Tax (est.)")</f>
        <v>0 Ad Valorem Tax (est.)</v>
      </c>
      <c r="I71" s="702"/>
      <c r="J71" s="449"/>
      <c r="K71" s="694">
        <f>IF(G71=E84,"","Note: Does not include Delinquent Taxes")</f>
      </c>
    </row>
    <row r="72" spans="2:10" ht="15.75">
      <c r="B72" s="299"/>
      <c r="C72" s="391"/>
      <c r="D72" s="391"/>
      <c r="E72" s="95"/>
      <c r="G72" s="476">
        <f>SUM(G69:G71)</f>
        <v>0</v>
      </c>
      <c r="H72" s="679" t="str">
        <f>CONCATENATE("Total ",E1," Resources Available")</f>
        <v>Total 0 Resources Available</v>
      </c>
      <c r="I72" s="449"/>
      <c r="J72" s="449"/>
    </row>
    <row r="73" spans="2:10" ht="15.75">
      <c r="B73" s="299"/>
      <c r="C73" s="391"/>
      <c r="D73" s="391"/>
      <c r="E73" s="95"/>
      <c r="G73" s="473"/>
      <c r="H73" s="475"/>
      <c r="I73" s="450"/>
      <c r="J73" s="449"/>
    </row>
    <row r="74" spans="2:10" ht="15.75">
      <c r="B74" s="303" t="str">
        <f>CONCATENATE("Cash Forward (",E1," column)")</f>
        <v>Cash Forward (0 column)</v>
      </c>
      <c r="C74" s="391"/>
      <c r="D74" s="391"/>
      <c r="E74" s="95"/>
      <c r="G74" s="474">
        <f>ROUND(C77*0.05+C77,0)</f>
        <v>0</v>
      </c>
      <c r="H74" s="475" t="str">
        <f>CONCATENATE("Less ",E1-2," Expenditures + 5%")</f>
        <v>Less -2 Expenditures + 5%</v>
      </c>
      <c r="I74" s="449"/>
      <c r="J74" s="449"/>
    </row>
    <row r="75" spans="2:10" ht="15.75">
      <c r="B75" s="303" t="s">
        <v>163</v>
      </c>
      <c r="C75" s="391"/>
      <c r="D75" s="391"/>
      <c r="E75" s="95"/>
      <c r="G75" s="472">
        <f>G72-G74</f>
        <v>0</v>
      </c>
      <c r="H75" s="471" t="str">
        <f>CONCATENATE("Projected ",E1+1," carryover (est.)")</f>
        <v>Projected 1 carryover (est.)</v>
      </c>
      <c r="I75" s="448"/>
      <c r="J75" s="709"/>
    </row>
    <row r="76" spans="2:9" ht="15.75">
      <c r="B76" s="303" t="s">
        <v>164</v>
      </c>
      <c r="C76" s="392">
        <f>IF(C77*0.1&lt;C75,"Exceed 10% Rule","")</f>
      </c>
      <c r="D76" s="392">
        <f>IF(D77*0.1&lt;D75,"Exceed 10% Rule","")</f>
      </c>
      <c r="E76" s="330">
        <f>IF(E77*0.1&lt;E75,"Exceed 10% Rule","")</f>
      </c>
      <c r="G76" s="3"/>
      <c r="H76" s="3"/>
      <c r="I76" s="3"/>
    </row>
    <row r="77" spans="2:10" ht="15.75">
      <c r="B77" s="305" t="s">
        <v>280</v>
      </c>
      <c r="C77" s="395">
        <f>SUM(C68:C75)</f>
        <v>0</v>
      </c>
      <c r="D77" s="395">
        <f>SUM(D68:D75)</f>
        <v>0</v>
      </c>
      <c r="E77" s="307">
        <f>SUM(E68:E75)</f>
        <v>0</v>
      </c>
      <c r="G77" s="993" t="s">
        <v>867</v>
      </c>
      <c r="H77" s="994"/>
      <c r="I77" s="994"/>
      <c r="J77" s="995"/>
    </row>
    <row r="78" spans="2:10" ht="15.75">
      <c r="B78" s="137" t="s">
        <v>48</v>
      </c>
      <c r="C78" s="393">
        <f>C66-C77</f>
        <v>0</v>
      </c>
      <c r="D78" s="393">
        <f>D66-D77</f>
        <v>0</v>
      </c>
      <c r="E78" s="318" t="s">
        <v>254</v>
      </c>
      <c r="G78" s="665"/>
      <c r="H78" s="666"/>
      <c r="I78" s="667"/>
      <c r="J78" s="668"/>
    </row>
    <row r="79" spans="2:10" ht="15.75">
      <c r="B79" s="195" t="str">
        <f>CONCATENATE("",E1-2,"/",E1-1,"/",E1," Budget Authority Amount:")</f>
        <v>-2/-1/0 Budget Authority Amount:</v>
      </c>
      <c r="C79" s="326">
        <f>inputOth!B91</f>
        <v>0</v>
      </c>
      <c r="D79" s="326">
        <f>inputPrYr!D33</f>
        <v>0</v>
      </c>
      <c r="E79" s="297">
        <f>E77</f>
        <v>0</v>
      </c>
      <c r="F79" s="319"/>
      <c r="G79" s="669" t="str">
        <f>summ!H29</f>
        <v>  </v>
      </c>
      <c r="H79" s="666" t="str">
        <f>CONCATENATE("",E1," Fund Mill Rate")</f>
        <v>0 Fund Mill Rate</v>
      </c>
      <c r="I79" s="667"/>
      <c r="J79" s="668"/>
    </row>
    <row r="80" spans="2:10" ht="15.75">
      <c r="B80" s="161"/>
      <c r="C80" s="984" t="s">
        <v>649</v>
      </c>
      <c r="D80" s="985"/>
      <c r="E80" s="95"/>
      <c r="F80" s="736">
        <f>IF(E77/0.95-E77&lt;E80,"Exceeds 5%","")</f>
      </c>
      <c r="G80" s="670" t="str">
        <f>summ!E29</f>
        <v>  </v>
      </c>
      <c r="H80" s="666" t="str">
        <f>CONCATENATE("",E1-1," Fund Mill Rate")</f>
        <v>-1 Fund Mill Rate</v>
      </c>
      <c r="I80" s="667"/>
      <c r="J80" s="668"/>
    </row>
    <row r="81" spans="2:10" ht="15.75">
      <c r="B81" s="500" t="str">
        <f>CONCATENATE(C96,"     ",D96)</f>
        <v>     </v>
      </c>
      <c r="C81" s="986" t="s">
        <v>650</v>
      </c>
      <c r="D81" s="987"/>
      <c r="E81" s="297">
        <f>E77+E80</f>
        <v>0</v>
      </c>
      <c r="G81" s="671">
        <f>summ!H56</f>
        <v>0</v>
      </c>
      <c r="H81" s="666" t="str">
        <f>CONCATENATE("Total ",E1," Mill Rate")</f>
        <v>Total 0 Mill Rate</v>
      </c>
      <c r="I81" s="667"/>
      <c r="J81" s="668"/>
    </row>
    <row r="82" spans="2:10" ht="15.75">
      <c r="B82" s="500" t="str">
        <f>CONCATENATE(C97,"     ",D97)</f>
        <v>     </v>
      </c>
      <c r="C82" s="309"/>
      <c r="D82" s="191" t="s">
        <v>281</v>
      </c>
      <c r="E82" s="106">
        <f>IF(E81-E66&gt;0,E81-E66,0)</f>
        <v>0</v>
      </c>
      <c r="G82" s="670">
        <f>summ!E56</f>
        <v>0</v>
      </c>
      <c r="H82" s="672" t="str">
        <f>CONCATENATE("Total ",E1-1," Mill Rate")</f>
        <v>Total -1 Mill Rate</v>
      </c>
      <c r="I82" s="673"/>
      <c r="J82" s="674"/>
    </row>
    <row r="83" spans="2:5" ht="15.75">
      <c r="B83" s="161"/>
      <c r="C83" s="452" t="s">
        <v>651</v>
      </c>
      <c r="D83" s="721">
        <f>inputOth!$E$66</f>
        <v>0</v>
      </c>
      <c r="E83" s="297">
        <f>ROUND(IF(D83&gt;0,(E82*D83),0),0)</f>
        <v>0</v>
      </c>
    </row>
    <row r="84" spans="2:10" ht="16.5" thickBot="1">
      <c r="B84" s="191"/>
      <c r="C84" s="982" t="str">
        <f>CONCATENATE("Amount of  ",$E$1-1," Ad Valorem Tax")</f>
        <v>Amount of  -1 Ad Valorem Tax</v>
      </c>
      <c r="D84" s="983"/>
      <c r="E84" s="322">
        <f>E82+E83</f>
        <v>0</v>
      </c>
      <c r="G84" s="881" t="s">
        <v>1036</v>
      </c>
      <c r="H84" s="882"/>
      <c r="I84" s="884"/>
      <c r="J84" s="883" t="str">
        <f>cert!F57</f>
        <v>No</v>
      </c>
    </row>
    <row r="85" spans="2:10" ht="16.5" thickTop="1">
      <c r="B85" s="81"/>
      <c r="C85" s="81"/>
      <c r="D85" s="81"/>
      <c r="E85" s="81"/>
      <c r="G85" s="874" t="str">
        <f>CONCATENATE("Computed ",E1," tax levy limit amount")</f>
        <v>Computed 0 tax levy limit amount</v>
      </c>
      <c r="H85" s="873"/>
      <c r="I85" s="873"/>
      <c r="J85" s="870">
        <f>computation!J47</f>
        <v>0</v>
      </c>
    </row>
    <row r="86" spans="2:10" ht="15.75">
      <c r="B86" s="161" t="s">
        <v>283</v>
      </c>
      <c r="C86" s="839"/>
      <c r="D86" s="81"/>
      <c r="E86" s="81"/>
      <c r="G86" s="876" t="str">
        <f>CONCATENATE("Total ",E1," tax levy amount")</f>
        <v>Total 0 tax levy amount</v>
      </c>
      <c r="H86" s="652"/>
      <c r="I86" s="652"/>
      <c r="J86" s="869">
        <f>summ!G56</f>
        <v>0</v>
      </c>
    </row>
    <row r="87" ht="15.75">
      <c r="B87" s="191"/>
    </row>
    <row r="94" spans="3:4" ht="15.75" hidden="1">
      <c r="C94" s="77">
        <f>IF(C35&gt;C37,"See Tab A","")</f>
      </c>
      <c r="D94" s="77">
        <f>IF(D35&gt;D37,"See Tab C","")</f>
      </c>
    </row>
    <row r="95" spans="3:4" ht="15.75" hidden="1">
      <c r="C95" s="77">
        <f>IF(C36&lt;0,"See Tab B","")</f>
      </c>
      <c r="D95" s="77">
        <f>IF(D36&lt;0,"See Tab D","")</f>
      </c>
    </row>
    <row r="96" spans="3:4" ht="15.75" hidden="1">
      <c r="C96" s="77">
        <f>IF(C77&gt;C79,"See Tab A","")</f>
      </c>
      <c r="D96" s="77">
        <f>IF(D77&gt;D79,"See Tab C","")</f>
      </c>
    </row>
    <row r="97" spans="3:4" ht="15.75" hidden="1">
      <c r="C97" s="77">
        <f>IF(C78&lt;0,"See Tab B","")</f>
      </c>
      <c r="D97" s="77">
        <f>IF(D78&lt;0,"See Tab D","")</f>
      </c>
    </row>
  </sheetData>
  <sheetProtection sheet="1"/>
  <mergeCells count="12">
    <mergeCell ref="G77:J77"/>
    <mergeCell ref="G18:J18"/>
    <mergeCell ref="G25:J25"/>
    <mergeCell ref="G35:J35"/>
    <mergeCell ref="G67:J67"/>
    <mergeCell ref="G60:J60"/>
    <mergeCell ref="C42:D42"/>
    <mergeCell ref="C84:D84"/>
    <mergeCell ref="C80:D80"/>
    <mergeCell ref="C81:D81"/>
    <mergeCell ref="C38:D38"/>
    <mergeCell ref="C39:D39"/>
  </mergeCells>
  <conditionalFormatting sqref="E75">
    <cfRule type="cellIs" priority="3" dxfId="326" operator="greaterThan" stopIfTrue="1">
      <formula>$E$77*0.1</formula>
    </cfRule>
  </conditionalFormatting>
  <conditionalFormatting sqref="E33">
    <cfRule type="cellIs" priority="4" dxfId="326" operator="greaterThan" stopIfTrue="1">
      <formula>$E$35*0.1</formula>
    </cfRule>
  </conditionalFormatting>
  <conditionalFormatting sqref="E38">
    <cfRule type="cellIs" priority="5" dxfId="326" operator="greaterThan" stopIfTrue="1">
      <formula>$E$35/0.95-$E$35</formula>
    </cfRule>
  </conditionalFormatting>
  <conditionalFormatting sqref="E80">
    <cfRule type="cellIs" priority="6" dxfId="326" operator="greaterThan" stopIfTrue="1">
      <formula>$E$77/0.95-$E$77</formula>
    </cfRule>
  </conditionalFormatting>
  <conditionalFormatting sqref="D75">
    <cfRule type="cellIs" priority="7" dxfId="1" operator="greaterThan" stopIfTrue="1">
      <formula>$D$77*0.1</formula>
    </cfRule>
  </conditionalFormatting>
  <conditionalFormatting sqref="C75">
    <cfRule type="cellIs" priority="8" dxfId="1" operator="greaterThan" stopIfTrue="1">
      <formula>$C$77*0.1</formula>
    </cfRule>
  </conditionalFormatting>
  <conditionalFormatting sqref="D77">
    <cfRule type="cellIs" priority="9" dxfId="1" operator="greaterThan" stopIfTrue="1">
      <formula>$D$79</formula>
    </cfRule>
  </conditionalFormatting>
  <conditionalFormatting sqref="C77">
    <cfRule type="cellIs" priority="10" dxfId="1" operator="greaterThan" stopIfTrue="1">
      <formula>$C$79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33">
    <cfRule type="cellIs" priority="14" dxfId="1" operator="greaterThan" stopIfTrue="1">
      <formula>$D$35*0.1</formula>
    </cfRule>
  </conditionalFormatting>
  <conditionalFormatting sqref="C33">
    <cfRule type="cellIs" priority="15" dxfId="1" operator="greaterThan" stopIfTrue="1">
      <formula>$C$35*0.1</formula>
    </cfRule>
  </conditionalFormatting>
  <conditionalFormatting sqref="D35">
    <cfRule type="cellIs" priority="16" dxfId="1" operator="greaterThan" stopIfTrue="1">
      <formula>$D$37</formula>
    </cfRule>
  </conditionalFormatting>
  <conditionalFormatting sqref="C35">
    <cfRule type="cellIs" priority="17" dxfId="1" operator="greaterThan" stopIfTrue="1">
      <formula>$C$37</formula>
    </cfRule>
  </conditionalFormatting>
  <conditionalFormatting sqref="D21">
    <cfRule type="cellIs" priority="18" dxfId="1" operator="greaterThan" stopIfTrue="1">
      <formula>$D$23*0.1</formula>
    </cfRule>
  </conditionalFormatting>
  <conditionalFormatting sqref="C21">
    <cfRule type="cellIs" priority="19" dxfId="1" operator="greaterThan" stopIfTrue="1">
      <formula>$C$23*0.1</formula>
    </cfRule>
  </conditionalFormatting>
  <conditionalFormatting sqref="D78 D36">
    <cfRule type="cellIs" priority="2" dxfId="0" operator="lessThan" stopIfTrue="1">
      <formula>0</formula>
    </cfRule>
  </conditionalFormatting>
  <conditionalFormatting sqref="E21">
    <cfRule type="cellIs" priority="65" dxfId="326" operator="greaterThan" stopIfTrue="1">
      <formula>$E$23*0.1+$E$42</formula>
    </cfRule>
  </conditionalFormatting>
  <conditionalFormatting sqref="E63">
    <cfRule type="cellIs" priority="66" dxfId="326" operator="greaterThan" stopIfTrue="1">
      <formula>$E$65*0.1+$E$84</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130"/>
  <sheetViews>
    <sheetView zoomScalePageLayoutView="0" workbookViewId="0" topLeftCell="A1">
      <selection activeCell="Q194" sqref="Q194"/>
    </sheetView>
  </sheetViews>
  <sheetFormatPr defaultColWidth="8.796875" defaultRowHeight="15"/>
  <cols>
    <col min="1" max="1" width="15.796875" style="77" customWidth="1"/>
    <col min="2" max="2" width="20.796875" style="77" customWidth="1"/>
    <col min="3" max="3" width="9.796875" style="77" customWidth="1"/>
    <col min="4" max="4" width="15.09765625" style="77" customWidth="1"/>
    <col min="5" max="5" width="15.796875" style="77" customWidth="1"/>
    <col min="6" max="6" width="1.8984375" style="77" customWidth="1"/>
    <col min="7" max="7" width="18.69921875" style="77" customWidth="1"/>
    <col min="8" max="16384" width="8.8984375" style="77" customWidth="1"/>
  </cols>
  <sheetData>
    <row r="1" spans="1:5" ht="15.75">
      <c r="A1" s="903" t="s">
        <v>999</v>
      </c>
      <c r="B1" s="904"/>
      <c r="C1" s="904"/>
      <c r="D1" s="904"/>
      <c r="E1" s="904"/>
    </row>
    <row r="2" spans="1:5" ht="15.75">
      <c r="A2" s="78"/>
      <c r="B2" s="79"/>
      <c r="C2" s="79"/>
      <c r="D2" s="79"/>
      <c r="E2" s="79"/>
    </row>
    <row r="3" spans="1:5" ht="15.75">
      <c r="A3" s="80" t="s">
        <v>1000</v>
      </c>
      <c r="B3" s="81"/>
      <c r="C3" s="81"/>
      <c r="D3" s="748"/>
      <c r="E3" s="749"/>
    </row>
    <row r="4" spans="1:5" ht="15.75">
      <c r="A4" s="80" t="s">
        <v>1001</v>
      </c>
      <c r="B4" s="81"/>
      <c r="C4" s="81"/>
      <c r="D4" s="748"/>
      <c r="E4" s="749"/>
    </row>
    <row r="5" spans="1:5" ht="15.75">
      <c r="A5" s="80" t="s">
        <v>1002</v>
      </c>
      <c r="B5" s="82"/>
      <c r="C5" s="81"/>
      <c r="D5" s="83"/>
      <c r="E5" s="81"/>
    </row>
    <row r="6" spans="1:5" ht="15.75">
      <c r="A6" s="80" t="s">
        <v>144</v>
      </c>
      <c r="B6" s="81"/>
      <c r="C6" s="81"/>
      <c r="D6" s="748"/>
      <c r="E6" s="749"/>
    </row>
    <row r="7" spans="1:5" ht="15.75">
      <c r="A7" s="80" t="s">
        <v>145</v>
      </c>
      <c r="B7" s="81"/>
      <c r="C7" s="81"/>
      <c r="D7" s="748"/>
      <c r="E7" s="749"/>
    </row>
    <row r="8" spans="1:5" ht="15.75">
      <c r="A8" s="80" t="s">
        <v>146</v>
      </c>
      <c r="B8" s="81"/>
      <c r="C8" s="81"/>
      <c r="D8" s="748"/>
      <c r="E8" s="749"/>
    </row>
    <row r="9" spans="1:5" ht="15.75">
      <c r="A9" s="84"/>
      <c r="B9" s="81"/>
      <c r="C9" s="81"/>
      <c r="D9" s="83"/>
      <c r="E9" s="81"/>
    </row>
    <row r="10" spans="1:5" ht="15.75">
      <c r="A10" s="80" t="s">
        <v>1003</v>
      </c>
      <c r="B10" s="81"/>
      <c r="C10" s="85"/>
      <c r="D10" s="83"/>
      <c r="E10" s="81"/>
    </row>
    <row r="11" spans="1:5" ht="15.75">
      <c r="A11" s="81"/>
      <c r="B11" s="81"/>
      <c r="C11" s="81"/>
      <c r="D11" s="81"/>
      <c r="E11" s="81"/>
    </row>
    <row r="12" spans="1:5" ht="15.75">
      <c r="A12" s="905" t="s">
        <v>1004</v>
      </c>
      <c r="B12" s="905"/>
      <c r="C12" s="905"/>
      <c r="D12" s="905"/>
      <c r="E12" s="905"/>
    </row>
    <row r="13" spans="1:8" ht="15.75" customHeight="1">
      <c r="A13" s="905"/>
      <c r="B13" s="905"/>
      <c r="C13" s="905"/>
      <c r="D13" s="905"/>
      <c r="E13" s="905"/>
      <c r="F13" s="722"/>
      <c r="G13" s="906" t="s">
        <v>1005</v>
      </c>
      <c r="H13" s="907"/>
    </row>
    <row r="14" spans="1:8" ht="15.75">
      <c r="A14" s="905"/>
      <c r="B14" s="905"/>
      <c r="C14" s="905"/>
      <c r="D14" s="905"/>
      <c r="E14" s="905"/>
      <c r="F14" s="722"/>
      <c r="G14" s="908"/>
      <c r="H14" s="909"/>
    </row>
    <row r="15" spans="1:8" ht="15.75">
      <c r="A15" s="901" t="s">
        <v>130</v>
      </c>
      <c r="B15" s="902"/>
      <c r="C15" s="902"/>
      <c r="D15" s="902"/>
      <c r="E15" s="902"/>
      <c r="F15" s="722"/>
      <c r="G15" s="908"/>
      <c r="H15" s="909"/>
    </row>
    <row r="16" spans="1:8" ht="15.75">
      <c r="A16" s="81"/>
      <c r="B16" s="81"/>
      <c r="C16" s="81"/>
      <c r="D16" s="81"/>
      <c r="E16" s="81"/>
      <c r="F16" s="722"/>
      <c r="G16" s="908"/>
      <c r="H16" s="909"/>
    </row>
    <row r="17" spans="1:8" ht="15.75">
      <c r="A17" s="817" t="s">
        <v>131</v>
      </c>
      <c r="B17" s="818"/>
      <c r="C17" s="81"/>
      <c r="D17" s="81"/>
      <c r="E17" s="81"/>
      <c r="F17" s="722"/>
      <c r="G17" s="908"/>
      <c r="H17" s="909"/>
    </row>
    <row r="18" spans="1:8" ht="15.75">
      <c r="A18" s="819" t="str">
        <f>CONCATENATE("the ",C10-1," Budget, Certificate Page:")</f>
        <v>the -1 Budget, Certificate Page:</v>
      </c>
      <c r="B18" s="820"/>
      <c r="C18" s="81"/>
      <c r="D18" s="81"/>
      <c r="E18" s="102"/>
      <c r="F18" s="722"/>
      <c r="G18" s="908"/>
      <c r="H18" s="909"/>
    </row>
    <row r="19" spans="1:8" ht="15.75">
      <c r="A19" s="821" t="s">
        <v>333</v>
      </c>
      <c r="B19" s="822"/>
      <c r="C19" s="81"/>
      <c r="D19" s="81"/>
      <c r="E19" s="102"/>
      <c r="F19" s="722"/>
      <c r="G19" s="910"/>
      <c r="H19" s="911"/>
    </row>
    <row r="20" spans="1:8" ht="15.75">
      <c r="A20" s="81"/>
      <c r="B20" s="81"/>
      <c r="C20" s="81"/>
      <c r="D20" s="89">
        <f>C10-1</f>
        <v>-1</v>
      </c>
      <c r="E20" s="90">
        <f>C10-2</f>
        <v>-2</v>
      </c>
      <c r="F20" s="829"/>
      <c r="G20" s="723" t="s">
        <v>868</v>
      </c>
      <c r="H20" s="179" t="s">
        <v>282</v>
      </c>
    </row>
    <row r="21" spans="1:8" ht="15.75">
      <c r="A21" s="84" t="s">
        <v>237</v>
      </c>
      <c r="B21" s="81"/>
      <c r="C21" s="91" t="s">
        <v>238</v>
      </c>
      <c r="D21" s="92" t="s">
        <v>332</v>
      </c>
      <c r="E21" s="92" t="s">
        <v>176</v>
      </c>
      <c r="F21" s="829"/>
      <c r="G21" s="724" t="str">
        <f>CONCATENATE("",E20," Ad Valorem Tax")</f>
        <v>-2 Ad Valorem Tax</v>
      </c>
      <c r="H21" s="725">
        <v>0</v>
      </c>
    </row>
    <row r="22" spans="1:7" ht="15.75">
      <c r="A22" s="81"/>
      <c r="B22" s="93" t="s">
        <v>239</v>
      </c>
      <c r="C22" s="179" t="s">
        <v>51</v>
      </c>
      <c r="D22" s="95"/>
      <c r="E22" s="852"/>
      <c r="F22" s="829"/>
      <c r="G22" s="726">
        <f>IF(H21&gt;0,ROUND(E22-(E22*H$21),0),0)</f>
        <v>0</v>
      </c>
    </row>
    <row r="23" spans="1:7" ht="15.75">
      <c r="A23" s="81"/>
      <c r="B23" s="93" t="s">
        <v>199</v>
      </c>
      <c r="C23" s="179" t="s">
        <v>76</v>
      </c>
      <c r="D23" s="95"/>
      <c r="E23" s="852"/>
      <c r="F23" s="829"/>
      <c r="G23" s="726">
        <f>IF(H21&gt;0,ROUND(E23-(E23*H21),0),0)</f>
        <v>0</v>
      </c>
    </row>
    <row r="24" spans="1:7" ht="15.75">
      <c r="A24" s="81"/>
      <c r="B24" s="93" t="s">
        <v>841</v>
      </c>
      <c r="C24" s="179" t="s">
        <v>840</v>
      </c>
      <c r="D24" s="95"/>
      <c r="E24" s="852"/>
      <c r="F24" s="829"/>
      <c r="G24" s="726">
        <f>IF(H$21&gt;0,ROUND(E24-(E24*H$21),0),0)</f>
        <v>0</v>
      </c>
    </row>
    <row r="25" spans="1:7" ht="15.75">
      <c r="A25" s="84" t="s">
        <v>240</v>
      </c>
      <c r="B25" s="81"/>
      <c r="C25" s="81"/>
      <c r="D25" s="81"/>
      <c r="E25" s="853"/>
      <c r="F25" s="829"/>
      <c r="G25" s="96"/>
    </row>
    <row r="26" spans="1:7" ht="15.75">
      <c r="A26" s="81"/>
      <c r="B26" s="855"/>
      <c r="C26" s="606"/>
      <c r="D26" s="95"/>
      <c r="E26" s="852"/>
      <c r="F26" s="829"/>
      <c r="G26" s="726">
        <f>IF(H$21&gt;0,ROUND(E26-(E26*H$21),0),0)</f>
        <v>0</v>
      </c>
    </row>
    <row r="27" spans="1:7" ht="15.75">
      <c r="A27" s="81"/>
      <c r="B27" s="854"/>
      <c r="C27" s="606"/>
      <c r="D27" s="95"/>
      <c r="E27" s="852"/>
      <c r="F27" s="829"/>
      <c r="G27" s="726">
        <f aca="true" t="shared" si="0" ref="G27:G35">IF(H$21&gt;0,ROUND(E27-(E27*H$21),0),0)</f>
        <v>0</v>
      </c>
    </row>
    <row r="28" spans="1:7" ht="15.75">
      <c r="A28" s="81"/>
      <c r="B28" s="854"/>
      <c r="C28" s="606"/>
      <c r="D28" s="95"/>
      <c r="E28" s="852"/>
      <c r="F28" s="829"/>
      <c r="G28" s="726">
        <f t="shared" si="0"/>
        <v>0</v>
      </c>
    </row>
    <row r="29" spans="1:7" ht="15.75">
      <c r="A29" s="81"/>
      <c r="B29" s="854"/>
      <c r="C29" s="606"/>
      <c r="D29" s="95"/>
      <c r="E29" s="852"/>
      <c r="F29" s="829"/>
      <c r="G29" s="726">
        <f t="shared" si="0"/>
        <v>0</v>
      </c>
    </row>
    <row r="30" spans="1:7" ht="15.75">
      <c r="A30" s="81"/>
      <c r="B30" s="854"/>
      <c r="C30" s="606"/>
      <c r="D30" s="95"/>
      <c r="E30" s="852"/>
      <c r="F30" s="829"/>
      <c r="G30" s="726">
        <f t="shared" si="0"/>
        <v>0</v>
      </c>
    </row>
    <row r="31" spans="1:7" ht="15.75">
      <c r="A31" s="81"/>
      <c r="B31" s="854"/>
      <c r="C31" s="606"/>
      <c r="D31" s="95"/>
      <c r="E31" s="852"/>
      <c r="F31" s="829"/>
      <c r="G31" s="726">
        <f t="shared" si="0"/>
        <v>0</v>
      </c>
    </row>
    <row r="32" spans="1:7" ht="15.75">
      <c r="A32" s="81"/>
      <c r="B32" s="854"/>
      <c r="C32" s="606"/>
      <c r="D32" s="95"/>
      <c r="E32" s="852"/>
      <c r="F32" s="829"/>
      <c r="G32" s="726">
        <f t="shared" si="0"/>
        <v>0</v>
      </c>
    </row>
    <row r="33" spans="1:7" ht="15.75">
      <c r="A33" s="81"/>
      <c r="B33" s="854"/>
      <c r="C33" s="606"/>
      <c r="D33" s="95"/>
      <c r="E33" s="852"/>
      <c r="F33" s="829"/>
      <c r="G33" s="726">
        <f t="shared" si="0"/>
        <v>0</v>
      </c>
    </row>
    <row r="34" spans="1:12" ht="15.75">
      <c r="A34" s="81"/>
      <c r="B34" s="854"/>
      <c r="C34" s="606"/>
      <c r="D34" s="95"/>
      <c r="E34" s="852"/>
      <c r="F34" s="829"/>
      <c r="G34" s="726">
        <f t="shared" si="0"/>
        <v>0</v>
      </c>
      <c r="L34" s="828"/>
    </row>
    <row r="35" spans="1:7" ht="15.75">
      <c r="A35" s="81"/>
      <c r="B35" s="854"/>
      <c r="C35" s="606"/>
      <c r="D35" s="95"/>
      <c r="E35" s="852"/>
      <c r="F35" s="829"/>
      <c r="G35" s="726">
        <f t="shared" si="0"/>
        <v>0</v>
      </c>
    </row>
    <row r="36" spans="1:5" ht="15.75">
      <c r="A36" s="98" t="str">
        <f>CONCATENATE("Total Tax Levy Funds for ",C10-1," Budgeted Year")</f>
        <v>Total Tax Levy Funds for -1 Budgeted Year</v>
      </c>
      <c r="B36" s="88"/>
      <c r="C36" s="88"/>
      <c r="D36" s="99"/>
      <c r="E36" s="100">
        <f>SUM(E22:E35)</f>
        <v>0</v>
      </c>
    </row>
    <row r="37" spans="1:5" ht="15.75">
      <c r="A37" s="101"/>
      <c r="B37" s="102"/>
      <c r="C37" s="102"/>
      <c r="D37" s="103"/>
      <c r="E37" s="96"/>
    </row>
    <row r="38" spans="1:5" ht="15.75">
      <c r="A38" s="84" t="s">
        <v>81</v>
      </c>
      <c r="B38" s="81"/>
      <c r="C38" s="81"/>
      <c r="D38" s="81"/>
      <c r="E38" s="81"/>
    </row>
    <row r="39" spans="1:5" ht="15.75">
      <c r="A39" s="81"/>
      <c r="B39" s="94" t="s">
        <v>39</v>
      </c>
      <c r="C39" s="81"/>
      <c r="D39" s="104"/>
      <c r="E39" s="81"/>
    </row>
    <row r="40" spans="1:5" ht="15.75">
      <c r="A40" s="81"/>
      <c r="B40" s="97"/>
      <c r="C40" s="81"/>
      <c r="D40" s="95"/>
      <c r="E40" s="81"/>
    </row>
    <row r="41" spans="1:5" ht="15.75">
      <c r="A41" s="81"/>
      <c r="B41" s="97"/>
      <c r="C41" s="81"/>
      <c r="D41" s="95"/>
      <c r="E41" s="81"/>
    </row>
    <row r="42" spans="1:5" ht="15.75">
      <c r="A42" s="81"/>
      <c r="B42" s="97"/>
      <c r="C42" s="81"/>
      <c r="D42" s="95"/>
      <c r="E42" s="81"/>
    </row>
    <row r="43" spans="1:5" ht="15.75">
      <c r="A43" s="81"/>
      <c r="B43" s="97"/>
      <c r="C43" s="81"/>
      <c r="D43" s="95"/>
      <c r="E43" s="81"/>
    </row>
    <row r="44" spans="1:5" ht="15.75">
      <c r="A44" s="81"/>
      <c r="B44" s="97"/>
      <c r="C44" s="81"/>
      <c r="D44" s="95"/>
      <c r="E44" s="81"/>
    </row>
    <row r="45" spans="1:5" ht="15.75">
      <c r="A45" s="81"/>
      <c r="B45" s="97"/>
      <c r="C45" s="81"/>
      <c r="D45" s="95"/>
      <c r="E45" s="81"/>
    </row>
    <row r="46" spans="1:5" ht="15.75">
      <c r="A46" s="81"/>
      <c r="B46" s="97"/>
      <c r="C46" s="81"/>
      <c r="D46" s="95"/>
      <c r="E46" s="81"/>
    </row>
    <row r="47" spans="1:5" ht="15.75">
      <c r="A47" s="81"/>
      <c r="B47" s="97"/>
      <c r="C47" s="81"/>
      <c r="D47" s="95"/>
      <c r="E47" s="81"/>
    </row>
    <row r="48" spans="1:5" ht="15.75">
      <c r="A48" s="81"/>
      <c r="B48" s="97"/>
      <c r="C48" s="81"/>
      <c r="D48" s="95"/>
      <c r="E48" s="81"/>
    </row>
    <row r="49" spans="1:5" ht="15.75">
      <c r="A49" s="81"/>
      <c r="B49" s="105"/>
      <c r="C49" s="81"/>
      <c r="D49" s="95"/>
      <c r="E49" s="81"/>
    </row>
    <row r="50" spans="1:5" ht="15.75">
      <c r="A50" s="81"/>
      <c r="B50" s="105"/>
      <c r="C50" s="81"/>
      <c r="D50" s="95"/>
      <c r="E50" s="81"/>
    </row>
    <row r="51" spans="1:5" ht="15.75">
      <c r="A51" s="81"/>
      <c r="B51" s="105"/>
      <c r="C51" s="81"/>
      <c r="D51" s="95"/>
      <c r="E51" s="81"/>
    </row>
    <row r="52" spans="1:5" ht="15.75">
      <c r="A52" s="81"/>
      <c r="B52" s="105"/>
      <c r="C52" s="81"/>
      <c r="D52" s="95"/>
      <c r="E52" s="81"/>
    </row>
    <row r="53" spans="1:5" ht="15.75">
      <c r="A53" s="81"/>
      <c r="B53" s="105"/>
      <c r="C53" s="81"/>
      <c r="D53" s="95"/>
      <c r="E53" s="81"/>
    </row>
    <row r="54" spans="1:5" ht="15.75">
      <c r="A54" s="81"/>
      <c r="B54" s="105"/>
      <c r="C54" s="81"/>
      <c r="D54" s="95"/>
      <c r="E54" s="81"/>
    </row>
    <row r="55" spans="1:5" ht="15.75">
      <c r="A55" s="81" t="s">
        <v>104</v>
      </c>
      <c r="B55" s="824"/>
      <c r="C55" s="81"/>
      <c r="D55" s="81"/>
      <c r="E55" s="81"/>
    </row>
    <row r="56" spans="1:5" ht="15.75">
      <c r="A56" s="81">
        <v>1</v>
      </c>
      <c r="B56" s="825"/>
      <c r="C56" s="81"/>
      <c r="D56" s="95"/>
      <c r="E56" s="81"/>
    </row>
    <row r="57" spans="1:5" ht="15.75">
      <c r="A57" s="81">
        <v>2</v>
      </c>
      <c r="B57" s="105"/>
      <c r="C57" s="81"/>
      <c r="D57" s="95"/>
      <c r="E57" s="81"/>
    </row>
    <row r="58" spans="1:5" ht="15.75">
      <c r="A58" s="81">
        <v>3</v>
      </c>
      <c r="B58" s="105"/>
      <c r="C58" s="81"/>
      <c r="D58" s="95"/>
      <c r="E58" s="81"/>
    </row>
    <row r="59" spans="1:5" ht="15.75">
      <c r="A59" s="81">
        <v>4</v>
      </c>
      <c r="B59" s="105"/>
      <c r="C59" s="81"/>
      <c r="D59" s="95"/>
      <c r="E59" s="81"/>
    </row>
    <row r="60" spans="1:5" ht="15.75">
      <c r="A60" s="98" t="str">
        <f>CONCATENATE("Total Expenditures for ",C16-1," Budgeted Year")</f>
        <v>Total Expenditures for -1 Budgeted Year</v>
      </c>
      <c r="B60" s="824"/>
      <c r="C60" s="88"/>
      <c r="D60" s="106">
        <f>SUM(D22:D24,D26:D35,D39:D54,D56:D59)</f>
        <v>0</v>
      </c>
      <c r="E60" s="81"/>
    </row>
    <row r="61" spans="1:5" ht="15.75">
      <c r="A61" s="81" t="s">
        <v>105</v>
      </c>
      <c r="B61" s="824"/>
      <c r="C61" s="81"/>
      <c r="D61" s="81"/>
      <c r="E61" s="81"/>
    </row>
    <row r="62" spans="1:5" ht="15.75">
      <c r="A62" s="81">
        <v>1</v>
      </c>
      <c r="B62" s="825"/>
      <c r="C62" s="81"/>
      <c r="D62" s="107"/>
      <c r="E62" s="81"/>
    </row>
    <row r="63" spans="1:5" ht="15.75">
      <c r="A63" s="81">
        <v>2</v>
      </c>
      <c r="B63" s="105"/>
      <c r="C63" s="81"/>
      <c r="D63" s="107"/>
      <c r="E63" s="81"/>
    </row>
    <row r="64" spans="1:5" ht="15.75">
      <c r="A64" s="81">
        <v>3</v>
      </c>
      <c r="B64" s="105"/>
      <c r="C64" s="81"/>
      <c r="D64" s="107"/>
      <c r="E64" s="81"/>
    </row>
    <row r="65" spans="1:5" ht="15.75">
      <c r="A65" s="81">
        <v>4</v>
      </c>
      <c r="B65" s="105"/>
      <c r="C65" s="81"/>
      <c r="D65" s="107"/>
      <c r="E65" s="81"/>
    </row>
    <row r="66" spans="1:5" ht="15.75">
      <c r="A66" s="81">
        <v>5</v>
      </c>
      <c r="B66" s="105"/>
      <c r="C66" s="81"/>
      <c r="D66" s="107"/>
      <c r="E66" s="81"/>
    </row>
    <row r="67" spans="1:5" ht="15.75">
      <c r="A67" s="81" t="s">
        <v>106</v>
      </c>
      <c r="B67" s="824"/>
      <c r="C67" s="81"/>
      <c r="D67" s="81"/>
      <c r="E67" s="81"/>
    </row>
    <row r="68" spans="1:5" ht="15.75">
      <c r="A68" s="81">
        <v>1</v>
      </c>
      <c r="B68" s="825"/>
      <c r="C68" s="81"/>
      <c r="D68" s="81"/>
      <c r="E68" s="81"/>
    </row>
    <row r="69" spans="1:5" ht="15.75">
      <c r="A69" s="81">
        <v>2</v>
      </c>
      <c r="B69" s="105"/>
      <c r="C69" s="81"/>
      <c r="D69" s="81"/>
      <c r="E69" s="81"/>
    </row>
    <row r="70" spans="1:5" ht="15.75">
      <c r="A70" s="81">
        <v>3</v>
      </c>
      <c r="B70" s="105"/>
      <c r="C70" s="81"/>
      <c r="D70" s="81"/>
      <c r="E70" s="81"/>
    </row>
    <row r="71" spans="1:5" ht="15.75">
      <c r="A71" s="81">
        <v>4</v>
      </c>
      <c r="B71" s="105"/>
      <c r="C71" s="81"/>
      <c r="D71" s="81"/>
      <c r="E71" s="81"/>
    </row>
    <row r="72" spans="1:5" ht="15.75">
      <c r="A72" s="81">
        <v>5</v>
      </c>
      <c r="B72" s="105"/>
      <c r="C72" s="81"/>
      <c r="D72" s="81"/>
      <c r="E72" s="81"/>
    </row>
    <row r="73" spans="1:5" ht="15.75">
      <c r="A73" s="81" t="s">
        <v>107</v>
      </c>
      <c r="B73" s="824"/>
      <c r="C73" s="81"/>
      <c r="D73" s="81"/>
      <c r="E73" s="81"/>
    </row>
    <row r="74" spans="1:5" ht="15.75">
      <c r="A74" s="81">
        <v>1</v>
      </c>
      <c r="B74" s="825"/>
      <c r="C74" s="81"/>
      <c r="D74" s="81"/>
      <c r="E74" s="81"/>
    </row>
    <row r="75" spans="1:5" ht="15.75">
      <c r="A75" s="81">
        <v>2</v>
      </c>
      <c r="B75" s="105"/>
      <c r="C75" s="81"/>
      <c r="D75" s="81"/>
      <c r="E75" s="81"/>
    </row>
    <row r="76" spans="1:5" ht="15.75">
      <c r="A76" s="81">
        <v>3</v>
      </c>
      <c r="B76" s="105"/>
      <c r="C76" s="81"/>
      <c r="D76" s="81"/>
      <c r="E76" s="81"/>
    </row>
    <row r="77" spans="1:5" ht="15.75">
      <c r="A77" s="81">
        <v>4</v>
      </c>
      <c r="B77" s="105"/>
      <c r="C77" s="81"/>
      <c r="D77" s="81"/>
      <c r="E77" s="81"/>
    </row>
    <row r="78" spans="1:5" ht="15.75">
      <c r="A78" s="81">
        <v>5</v>
      </c>
      <c r="B78" s="105"/>
      <c r="C78" s="81"/>
      <c r="D78" s="81"/>
      <c r="E78" s="81"/>
    </row>
    <row r="79" spans="1:5" ht="15.75">
      <c r="A79" s="81" t="s">
        <v>108</v>
      </c>
      <c r="B79" s="824"/>
      <c r="C79" s="81"/>
      <c r="D79" s="81"/>
      <c r="E79" s="81"/>
    </row>
    <row r="80" spans="1:5" ht="15.75">
      <c r="A80" s="81">
        <v>1</v>
      </c>
      <c r="B80" s="825"/>
      <c r="C80" s="81"/>
      <c r="D80" s="81"/>
      <c r="E80" s="81"/>
    </row>
    <row r="81" spans="1:5" ht="15.75">
      <c r="A81" s="81">
        <v>2</v>
      </c>
      <c r="B81" s="105"/>
      <c r="C81" s="81"/>
      <c r="D81" s="81"/>
      <c r="E81" s="81"/>
    </row>
    <row r="82" spans="1:5" ht="15.75">
      <c r="A82" s="81">
        <v>3</v>
      </c>
      <c r="B82" s="105"/>
      <c r="C82" s="81"/>
      <c r="D82" s="81"/>
      <c r="E82" s="81"/>
    </row>
    <row r="83" spans="1:5" ht="15.75">
      <c r="A83" s="81">
        <v>4</v>
      </c>
      <c r="B83" s="105"/>
      <c r="C83" s="81"/>
      <c r="D83" s="81"/>
      <c r="E83" s="81"/>
    </row>
    <row r="84" spans="1:5" ht="15.75">
      <c r="A84" s="81">
        <v>5</v>
      </c>
      <c r="B84" s="105"/>
      <c r="C84" s="81"/>
      <c r="D84" s="81"/>
      <c r="E84" s="81"/>
    </row>
    <row r="85" spans="1:5" ht="15.75">
      <c r="A85" s="101"/>
      <c r="B85" s="102"/>
      <c r="C85" s="102"/>
      <c r="D85" s="102"/>
      <c r="E85" s="108"/>
    </row>
    <row r="86" spans="1:5" ht="15.75">
      <c r="A86" s="81"/>
      <c r="B86" s="81"/>
      <c r="C86" s="81"/>
      <c r="D86" s="81"/>
      <c r="E86" s="81"/>
    </row>
    <row r="87" spans="1:5" ht="15.75">
      <c r="A87" s="81"/>
      <c r="B87" s="81"/>
      <c r="C87" s="81"/>
      <c r="D87" s="832" t="str">
        <f>CONCATENATE("",C10-3," Tax Rate")</f>
        <v>-3 Tax Rate</v>
      </c>
      <c r="E87" s="81"/>
    </row>
    <row r="88" spans="1:5" ht="15.75">
      <c r="A88" s="835" t="str">
        <f>CONCATENATE("From the ",C10-1," Budget, Budget Summary Page")</f>
        <v>From the -1 Budget, Budget Summary Page</v>
      </c>
      <c r="B88" s="836"/>
      <c r="C88" s="81"/>
      <c r="D88" s="833" t="str">
        <f>CONCATENATE("(",C10-2," Column)")</f>
        <v>(-2 Column)</v>
      </c>
      <c r="E88" s="81"/>
    </row>
    <row r="89" spans="1:5" ht="15.75">
      <c r="A89" s="81"/>
      <c r="B89" s="831" t="str">
        <f>B22</f>
        <v>General</v>
      </c>
      <c r="C89" s="81"/>
      <c r="D89" s="105"/>
      <c r="E89" s="81"/>
    </row>
    <row r="90" spans="1:5" ht="15.75">
      <c r="A90" s="81"/>
      <c r="B90" s="109" t="str">
        <f>B23</f>
        <v>Debt Service</v>
      </c>
      <c r="C90" s="81"/>
      <c r="D90" s="105"/>
      <c r="E90" s="81"/>
    </row>
    <row r="91" spans="1:5" ht="15.75">
      <c r="A91" s="81"/>
      <c r="B91" s="109" t="str">
        <f>B24</f>
        <v>Library</v>
      </c>
      <c r="C91" s="81"/>
      <c r="D91" s="105"/>
      <c r="E91" s="81"/>
    </row>
    <row r="92" spans="1:5" ht="15.75">
      <c r="A92" s="81"/>
      <c r="B92" s="109">
        <f aca="true" t="shared" si="1" ref="B92:B101">B26</f>
        <v>0</v>
      </c>
      <c r="C92" s="81"/>
      <c r="D92" s="105"/>
      <c r="E92" s="81"/>
    </row>
    <row r="93" spans="1:5" ht="15.75">
      <c r="A93" s="81"/>
      <c r="B93" s="109">
        <f t="shared" si="1"/>
        <v>0</v>
      </c>
      <c r="C93" s="81"/>
      <c r="D93" s="105"/>
      <c r="E93" s="81"/>
    </row>
    <row r="94" spans="1:5" ht="15.75">
      <c r="A94" s="81"/>
      <c r="B94" s="109">
        <f t="shared" si="1"/>
        <v>0</v>
      </c>
      <c r="C94" s="81"/>
      <c r="D94" s="105"/>
      <c r="E94" s="81"/>
    </row>
    <row r="95" spans="1:5" ht="15.75">
      <c r="A95" s="81"/>
      <c r="B95" s="109">
        <f t="shared" si="1"/>
        <v>0</v>
      </c>
      <c r="C95" s="81"/>
      <c r="D95" s="105"/>
      <c r="E95" s="81"/>
    </row>
    <row r="96" spans="1:5" ht="15.75">
      <c r="A96" s="81"/>
      <c r="B96" s="109">
        <f t="shared" si="1"/>
        <v>0</v>
      </c>
      <c r="C96" s="81"/>
      <c r="D96" s="105"/>
      <c r="E96" s="81"/>
    </row>
    <row r="97" spans="1:5" ht="15.75">
      <c r="A97" s="81"/>
      <c r="B97" s="109">
        <f t="shared" si="1"/>
        <v>0</v>
      </c>
      <c r="C97" s="81"/>
      <c r="D97" s="105"/>
      <c r="E97" s="81"/>
    </row>
    <row r="98" spans="1:5" ht="15.75">
      <c r="A98" s="81"/>
      <c r="B98" s="109">
        <f t="shared" si="1"/>
        <v>0</v>
      </c>
      <c r="C98" s="81"/>
      <c r="D98" s="105"/>
      <c r="E98" s="81"/>
    </row>
    <row r="99" spans="1:5" ht="15.75">
      <c r="A99" s="81"/>
      <c r="B99" s="109">
        <f t="shared" si="1"/>
        <v>0</v>
      </c>
      <c r="C99" s="81"/>
      <c r="D99" s="105"/>
      <c r="E99" s="81"/>
    </row>
    <row r="100" spans="1:5" ht="15.75">
      <c r="A100" s="81"/>
      <c r="B100" s="109">
        <f t="shared" si="1"/>
        <v>0</v>
      </c>
      <c r="C100" s="81"/>
      <c r="D100" s="105"/>
      <c r="E100" s="81"/>
    </row>
    <row r="101" spans="1:5" ht="15.75">
      <c r="A101" s="81"/>
      <c r="B101" s="109">
        <f t="shared" si="1"/>
        <v>0</v>
      </c>
      <c r="C101" s="81"/>
      <c r="D101" s="105"/>
      <c r="E101" s="81"/>
    </row>
    <row r="102" spans="1:5" ht="15.75">
      <c r="A102" s="98" t="s">
        <v>241</v>
      </c>
      <c r="B102" s="88"/>
      <c r="C102" s="110"/>
      <c r="D102" s="111">
        <f>SUM(D89:D101)</f>
        <v>0</v>
      </c>
      <c r="E102" s="81"/>
    </row>
    <row r="103" spans="1:5" ht="15.75">
      <c r="A103" s="81"/>
      <c r="B103" s="81"/>
      <c r="C103" s="81"/>
      <c r="D103" s="81"/>
      <c r="E103" s="81"/>
    </row>
    <row r="104" spans="1:5" ht="15.75">
      <c r="A104" s="823" t="str">
        <f>CONCATENATE("Total Tax Levied (",C10-2," budget column)")</f>
        <v>Total Tax Levied (-2 budget column)</v>
      </c>
      <c r="B104" s="804"/>
      <c r="C104" s="88"/>
      <c r="D104" s="110"/>
      <c r="E104" s="95"/>
    </row>
    <row r="105" spans="1:5" ht="15.75">
      <c r="A105" s="823" t="str">
        <f>CONCATENATE("Assessed Valuation  (",C10-2," budget column)")</f>
        <v>Assessed Valuation  (-2 budget column)</v>
      </c>
      <c r="B105" s="804"/>
      <c r="C105" s="112"/>
      <c r="D105" s="113"/>
      <c r="E105" s="95"/>
    </row>
    <row r="106" spans="1:5" ht="15.75">
      <c r="A106" s="101"/>
      <c r="B106" s="102"/>
      <c r="C106" s="102"/>
      <c r="D106" s="102"/>
      <c r="E106" s="108"/>
    </row>
    <row r="107" spans="1:5" ht="15.75">
      <c r="A107" s="805" t="str">
        <f>CONCATENATE("From the ",C10-1," Budget, Budget Summary Page")</f>
        <v>From the -1 Budget, Budget Summary Page</v>
      </c>
      <c r="B107" s="806"/>
      <c r="C107" s="81"/>
      <c r="D107" s="114"/>
      <c r="E107" s="115"/>
    </row>
    <row r="108" spans="1:5" ht="15.75">
      <c r="A108" s="807" t="s">
        <v>142</v>
      </c>
      <c r="B108" s="808"/>
      <c r="C108" s="116"/>
      <c r="D108" s="117">
        <f>C10-3</f>
        <v>-3</v>
      </c>
      <c r="E108" s="118">
        <f>C10-2</f>
        <v>-2</v>
      </c>
    </row>
    <row r="109" spans="1:5" ht="15.75">
      <c r="A109" s="809" t="s">
        <v>77</v>
      </c>
      <c r="B109" s="810"/>
      <c r="C109" s="119"/>
      <c r="D109" s="104"/>
      <c r="E109" s="104"/>
    </row>
    <row r="110" spans="1:5" ht="15.75">
      <c r="A110" s="811" t="s">
        <v>78</v>
      </c>
      <c r="B110" s="834"/>
      <c r="C110" s="120"/>
      <c r="D110" s="104"/>
      <c r="E110" s="104"/>
    </row>
    <row r="111" spans="1:5" ht="15.75">
      <c r="A111" s="811" t="s">
        <v>79</v>
      </c>
      <c r="B111" s="834"/>
      <c r="C111" s="120"/>
      <c r="D111" s="104"/>
      <c r="E111" s="104"/>
    </row>
    <row r="112" spans="1:5" ht="15.75">
      <c r="A112" s="811" t="s">
        <v>80</v>
      </c>
      <c r="B112" s="834"/>
      <c r="C112" s="120"/>
      <c r="D112" s="104"/>
      <c r="E112" s="104"/>
    </row>
    <row r="113" spans="1:5" ht="15.75">
      <c r="A113" s="121"/>
      <c r="B113" s="121"/>
      <c r="C113" s="121"/>
      <c r="D113" s="121"/>
      <c r="E113" s="121"/>
    </row>
    <row r="114" spans="1:5" ht="15.75">
      <c r="A114" s="121"/>
      <c r="B114" s="121"/>
      <c r="C114" s="121"/>
      <c r="D114" s="121"/>
      <c r="E114" s="121"/>
    </row>
    <row r="115" spans="1:5" ht="15.75">
      <c r="A115" s="121"/>
      <c r="B115" s="121"/>
      <c r="C115" s="121"/>
      <c r="D115" s="121"/>
      <c r="E115" s="121"/>
    </row>
    <row r="116" spans="1:5" ht="15.75">
      <c r="A116" s="121"/>
      <c r="B116" s="121"/>
      <c r="C116" s="121"/>
      <c r="D116" s="121"/>
      <c r="E116" s="121"/>
    </row>
    <row r="117" spans="1:5" ht="15.75">
      <c r="A117" s="121"/>
      <c r="B117" s="121"/>
      <c r="C117" s="121"/>
      <c r="D117" s="121"/>
      <c r="E117" s="121"/>
    </row>
    <row r="118" spans="1:5" ht="15.75">
      <c r="A118" s="121"/>
      <c r="B118" s="121"/>
      <c r="C118" s="121"/>
      <c r="D118" s="121"/>
      <c r="E118" s="121"/>
    </row>
    <row r="119" s="121" customFormat="1" ht="15"/>
    <row r="120" spans="1:5" ht="15.75">
      <c r="A120" s="121"/>
      <c r="B120" s="121"/>
      <c r="C120" s="121"/>
      <c r="D120" s="121"/>
      <c r="E120" s="121"/>
    </row>
    <row r="121" spans="1:5" ht="15.75">
      <c r="A121" s="121"/>
      <c r="B121" s="121"/>
      <c r="C121" s="121"/>
      <c r="D121" s="121"/>
      <c r="E121" s="121"/>
    </row>
    <row r="122" spans="1:5" ht="15.75">
      <c r="A122" s="121"/>
      <c r="B122" s="121"/>
      <c r="C122" s="121"/>
      <c r="D122" s="121"/>
      <c r="E122" s="121"/>
    </row>
    <row r="123" spans="1:5" ht="15.75">
      <c r="A123" s="121"/>
      <c r="B123" s="121"/>
      <c r="C123" s="121"/>
      <c r="D123" s="121"/>
      <c r="E123" s="121"/>
    </row>
    <row r="124" spans="1:5" ht="15.75">
      <c r="A124" s="121"/>
      <c r="B124" s="121"/>
      <c r="C124" s="121"/>
      <c r="D124" s="121"/>
      <c r="E124" s="121"/>
    </row>
    <row r="125" spans="1:5" ht="15.75">
      <c r="A125" s="121"/>
      <c r="B125" s="121"/>
      <c r="C125" s="121"/>
      <c r="D125" s="121"/>
      <c r="E125" s="121"/>
    </row>
    <row r="126" spans="1:5" ht="15.75">
      <c r="A126" s="121"/>
      <c r="B126" s="121"/>
      <c r="C126" s="121"/>
      <c r="D126" s="121"/>
      <c r="E126" s="121"/>
    </row>
    <row r="127" spans="1:5" ht="15.75">
      <c r="A127" s="121"/>
      <c r="B127" s="121"/>
      <c r="C127" s="121"/>
      <c r="D127" s="121"/>
      <c r="E127" s="121"/>
    </row>
    <row r="128" spans="1:5" ht="15.75">
      <c r="A128" s="121"/>
      <c r="B128" s="121"/>
      <c r="C128" s="121"/>
      <c r="D128" s="121"/>
      <c r="E128" s="121"/>
    </row>
    <row r="129" spans="1:5" ht="15.75">
      <c r="A129" s="121"/>
      <c r="B129" s="121"/>
      <c r="C129" s="121"/>
      <c r="D129" s="121"/>
      <c r="E129" s="121"/>
    </row>
    <row r="130" spans="1:5" ht="15.75">
      <c r="A130" s="121"/>
      <c r="B130" s="121"/>
      <c r="C130" s="121"/>
      <c r="D130" s="121"/>
      <c r="E130" s="121"/>
    </row>
  </sheetData>
  <sheetProtection sheet="1"/>
  <mergeCells count="4">
    <mergeCell ref="A15:E15"/>
    <mergeCell ref="A1:E1"/>
    <mergeCell ref="A12:E14"/>
    <mergeCell ref="G13:H19"/>
  </mergeCells>
  <printOptions/>
  <pageMargins left="0.5" right="0.5" top="1" bottom="0.5" header="0.5" footer="0.25"/>
  <pageSetup blackAndWhite="1" fitToHeight="2" fitToWidth="1" horizontalDpi="120" verticalDpi="120" orientation="portrait" scale="72"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44" sqref="Q144"/>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8.09765625" style="77" customWidth="1"/>
    <col min="7" max="7" width="10.19921875" style="77" customWidth="1"/>
    <col min="8" max="8" width="8.8984375" style="77" customWidth="1"/>
    <col min="9" max="9" width="5.69921875" style="77" customWidth="1"/>
    <col min="10" max="10" width="10" style="77" customWidth="1"/>
    <col min="11" max="16384" width="8.8984375" style="77" customWidth="1"/>
  </cols>
  <sheetData>
    <row r="1" spans="2:5" ht="15.75">
      <c r="B1" s="205">
        <f>(inputPrYr!D3)</f>
        <v>0</v>
      </c>
      <c r="C1" s="81"/>
      <c r="D1" s="81"/>
      <c r="E1" s="227">
        <f>inputPrYr!C10</f>
        <v>0</v>
      </c>
    </row>
    <row r="2" spans="2:5" ht="15.75">
      <c r="B2" s="81"/>
      <c r="C2" s="81"/>
      <c r="D2" s="81"/>
      <c r="E2" s="191"/>
    </row>
    <row r="3" spans="2:5" ht="15.75">
      <c r="B3" s="293" t="s">
        <v>6</v>
      </c>
      <c r="C3" s="211"/>
      <c r="D3" s="211"/>
      <c r="E3" s="317"/>
    </row>
    <row r="4" spans="2:5" ht="15.75">
      <c r="B4" s="84" t="s">
        <v>264</v>
      </c>
      <c r="C4" s="573" t="s">
        <v>781</v>
      </c>
      <c r="D4" s="574" t="s">
        <v>782</v>
      </c>
      <c r="E4" s="168" t="s">
        <v>783</v>
      </c>
    </row>
    <row r="5" spans="2:5" ht="15.75">
      <c r="B5" s="520">
        <f>inputPrYr!B34</f>
        <v>0</v>
      </c>
      <c r="C5" s="399" t="str">
        <f>CONCATENATE("Actual for ",E1-2,"")</f>
        <v>Actual for -2</v>
      </c>
      <c r="D5" s="399" t="str">
        <f>CONCATENATE("Estimate for ",E1-1,"")</f>
        <v>Estimate for -1</v>
      </c>
      <c r="E5" s="218" t="str">
        <f>CONCATENATE("Year for ",E1,"")</f>
        <v>Year for 0</v>
      </c>
    </row>
    <row r="6" spans="2:5" ht="15.75">
      <c r="B6" s="311" t="s">
        <v>47</v>
      </c>
      <c r="C6" s="391"/>
      <c r="D6" s="396">
        <f>C36</f>
        <v>0</v>
      </c>
      <c r="E6" s="297">
        <f>D36</f>
        <v>0</v>
      </c>
    </row>
    <row r="7" spans="2:5" ht="15.75">
      <c r="B7" s="312" t="s">
        <v>49</v>
      </c>
      <c r="C7" s="182"/>
      <c r="D7" s="182"/>
      <c r="E7" s="109"/>
    </row>
    <row r="8" spans="2:5" ht="15.75">
      <c r="B8" s="137" t="s">
        <v>265</v>
      </c>
      <c r="C8" s="391"/>
      <c r="D8" s="396">
        <f>IF(inputPrYr!H21&gt;0,inputPrYr!G34,inputPrYr!E34)</f>
        <v>0</v>
      </c>
      <c r="E8" s="318" t="s">
        <v>254</v>
      </c>
    </row>
    <row r="9" spans="2:5" ht="15.75">
      <c r="B9" s="137" t="s">
        <v>266</v>
      </c>
      <c r="C9" s="391"/>
      <c r="D9" s="391"/>
      <c r="E9" s="95"/>
    </row>
    <row r="10" spans="2:5" ht="15.75">
      <c r="B10" s="137" t="s">
        <v>267</v>
      </c>
      <c r="C10" s="391"/>
      <c r="D10" s="391"/>
      <c r="E10" s="297" t="str">
        <f>mvalloc!D19</f>
        <v>  </v>
      </c>
    </row>
    <row r="11" spans="2:5" ht="15.75">
      <c r="B11" s="137" t="s">
        <v>268</v>
      </c>
      <c r="C11" s="391"/>
      <c r="D11" s="391"/>
      <c r="E11" s="297" t="str">
        <f>mvalloc!E19</f>
        <v> </v>
      </c>
    </row>
    <row r="12" spans="2:5" ht="15.75">
      <c r="B12" s="182" t="s">
        <v>37</v>
      </c>
      <c r="C12" s="391"/>
      <c r="D12" s="391"/>
      <c r="E12" s="297" t="str">
        <f>mvalloc!F19</f>
        <v> </v>
      </c>
    </row>
    <row r="13" spans="2:5" ht="15.75">
      <c r="B13" s="327" t="s">
        <v>1023</v>
      </c>
      <c r="C13" s="391"/>
      <c r="D13" s="391"/>
      <c r="E13" s="297" t="str">
        <f>mvalloc!G19</f>
        <v> </v>
      </c>
    </row>
    <row r="14" spans="2:5" ht="15.75">
      <c r="B14" s="327" t="s">
        <v>1024</v>
      </c>
      <c r="C14" s="391"/>
      <c r="D14" s="391"/>
      <c r="E14" s="297" t="str">
        <f>mvalloc!H19</f>
        <v> </v>
      </c>
    </row>
    <row r="15" spans="2:5" ht="15.75">
      <c r="B15" s="299"/>
      <c r="C15" s="391"/>
      <c r="D15" s="391"/>
      <c r="E15" s="95"/>
    </row>
    <row r="16" spans="2:5" ht="15.75">
      <c r="B16" s="299"/>
      <c r="C16" s="391"/>
      <c r="D16" s="391"/>
      <c r="E16" s="95"/>
    </row>
    <row r="17" spans="2:5" ht="15.75">
      <c r="B17" s="299"/>
      <c r="C17" s="391"/>
      <c r="D17" s="391"/>
      <c r="E17" s="95"/>
    </row>
    <row r="18" spans="2:10" ht="15.75">
      <c r="B18" s="299"/>
      <c r="C18" s="391"/>
      <c r="D18" s="391"/>
      <c r="E18" s="95"/>
      <c r="G18" s="996" t="str">
        <f>CONCATENATE("Desired Carryover Into ",E1+1,"")</f>
        <v>Desired Carryover Into 1</v>
      </c>
      <c r="H18" s="991"/>
      <c r="I18" s="991"/>
      <c r="J18" s="992"/>
    </row>
    <row r="19" spans="2:10" ht="15.75">
      <c r="B19" s="313" t="s">
        <v>272</v>
      </c>
      <c r="C19" s="391"/>
      <c r="D19" s="391"/>
      <c r="E19" s="95"/>
      <c r="G19" s="678"/>
      <c r="H19" s="450"/>
      <c r="I19" s="679"/>
      <c r="J19" s="680"/>
    </row>
    <row r="20" spans="2:10" ht="15.75">
      <c r="B20" s="303" t="s">
        <v>162</v>
      </c>
      <c r="C20" s="391"/>
      <c r="D20" s="391"/>
      <c r="E20" s="333">
        <f>nhood!E17*-1</f>
        <v>0</v>
      </c>
      <c r="G20" s="681" t="s">
        <v>652</v>
      </c>
      <c r="H20" s="679"/>
      <c r="I20" s="679"/>
      <c r="J20" s="682">
        <v>0</v>
      </c>
    </row>
    <row r="21" spans="2:10" ht="15.75">
      <c r="B21" s="303" t="s">
        <v>163</v>
      </c>
      <c r="C21" s="391"/>
      <c r="D21" s="391"/>
      <c r="E21" s="95"/>
      <c r="G21" s="678" t="s">
        <v>653</v>
      </c>
      <c r="H21" s="450"/>
      <c r="I21" s="450"/>
      <c r="J21" s="699">
        <f>IF(J20=0,"",ROUND((J20+E42-G33)/inputOth!B14*1000,3)-G38)</f>
      </c>
    </row>
    <row r="22" spans="2:10" ht="15.75">
      <c r="B22" s="303" t="s">
        <v>645</v>
      </c>
      <c r="C22" s="392">
        <f>IF(C23*0.1&lt;C21,"Exceed 10% Rule","")</f>
      </c>
      <c r="D22" s="392">
        <f>IF(D23*0.1&lt;D21,"Exceed 10% Rule","")</f>
      </c>
      <c r="E22" s="330">
        <f>IF(E23*0.1+E42&lt;E21,"Exceed 10% Rule","")</f>
      </c>
      <c r="G22" s="684" t="str">
        <f>CONCATENATE("",E1," Tot Exp/Non-Appr Must Be:")</f>
        <v>0 Tot Exp/Non-Appr Must Be:</v>
      </c>
      <c r="H22" s="685"/>
      <c r="I22" s="686"/>
      <c r="J22" s="687">
        <f>IF(J20&gt;0,IF(E39&lt;E24,IF(J20=G33,E39,((J20-G33)*(1-D41))+E24),E39+(J20-G33)),0)</f>
        <v>0</v>
      </c>
    </row>
    <row r="23" spans="2:10" ht="15.75">
      <c r="B23" s="305" t="s">
        <v>273</v>
      </c>
      <c r="C23" s="395">
        <f>SUM(C8:C21)</f>
        <v>0</v>
      </c>
      <c r="D23" s="395">
        <f>SUM(D8:D21)</f>
        <v>0</v>
      </c>
      <c r="E23" s="307">
        <f>SUM(E8:E21)</f>
        <v>0</v>
      </c>
      <c r="G23" s="651" t="s">
        <v>866</v>
      </c>
      <c r="H23" s="688"/>
      <c r="I23" s="688"/>
      <c r="J23" s="653">
        <f>IF(J20&gt;0,J22-E39,0)</f>
        <v>0</v>
      </c>
    </row>
    <row r="24" spans="2:10" ht="15.75">
      <c r="B24" s="305" t="s">
        <v>274</v>
      </c>
      <c r="C24" s="395">
        <f>C6+C23</f>
        <v>0</v>
      </c>
      <c r="D24" s="395">
        <f>D6+D23</f>
        <v>0</v>
      </c>
      <c r="E24" s="307">
        <f>E6+E23</f>
        <v>0</v>
      </c>
      <c r="J24" s="3"/>
    </row>
    <row r="25" spans="2:10" ht="15.75">
      <c r="B25" s="137" t="s">
        <v>276</v>
      </c>
      <c r="C25" s="303"/>
      <c r="D25" s="303"/>
      <c r="E25" s="94"/>
      <c r="G25" s="996" t="str">
        <f>CONCATENATE("Projected Carryover Into ",E1+1,"")</f>
        <v>Projected Carryover Into 1</v>
      </c>
      <c r="H25" s="998"/>
      <c r="I25" s="998"/>
      <c r="J25" s="1000"/>
    </row>
    <row r="26" spans="2:10" ht="15.75">
      <c r="B26" s="299"/>
      <c r="C26" s="391"/>
      <c r="D26" s="391"/>
      <c r="E26" s="95"/>
      <c r="G26" s="678"/>
      <c r="H26" s="679"/>
      <c r="I26" s="679"/>
      <c r="J26" s="700"/>
    </row>
    <row r="27" spans="2:10" ht="15.75">
      <c r="B27" s="299"/>
      <c r="C27" s="391"/>
      <c r="D27" s="391"/>
      <c r="E27" s="95"/>
      <c r="G27" s="701">
        <f>D36</f>
        <v>0</v>
      </c>
      <c r="H27" s="666" t="str">
        <f>CONCATENATE("",E1-1," Ending Cash Balance (est.)")</f>
        <v>-1 Ending Cash Balance (est.)</v>
      </c>
      <c r="I27" s="702"/>
      <c r="J27" s="700"/>
    </row>
    <row r="28" spans="2:10" ht="15.75">
      <c r="B28" s="299"/>
      <c r="C28" s="391"/>
      <c r="D28" s="391"/>
      <c r="E28" s="95"/>
      <c r="G28" s="701">
        <f>E23</f>
        <v>0</v>
      </c>
      <c r="H28" s="679" t="str">
        <f>CONCATENATE("",E1," Non-AV Receipts (est.)")</f>
        <v>0 Non-AV Receipts (est.)</v>
      </c>
      <c r="I28" s="702"/>
      <c r="J28" s="700"/>
    </row>
    <row r="29" spans="2:11" ht="15.75">
      <c r="B29" s="299"/>
      <c r="C29" s="391"/>
      <c r="D29" s="391"/>
      <c r="E29" s="95"/>
      <c r="G29" s="703">
        <f>IF(E41&gt;0,E40,E42)</f>
        <v>0</v>
      </c>
      <c r="H29" s="679" t="str">
        <f>CONCATENATE("",E1," Ad Valorem Tax (est.)")</f>
        <v>0 Ad Valorem Tax (est.)</v>
      </c>
      <c r="I29" s="702"/>
      <c r="J29" s="704"/>
      <c r="K29" s="694">
        <f>IF(G29=E42,"","Note: Does not include Delinquent Taxes")</f>
      </c>
    </row>
    <row r="30" spans="2:10" ht="15.75">
      <c r="B30" s="299"/>
      <c r="C30" s="391"/>
      <c r="D30" s="391"/>
      <c r="E30" s="95"/>
      <c r="G30" s="701">
        <f>SUM(G27:G29)</f>
        <v>0</v>
      </c>
      <c r="H30" s="679" t="str">
        <f>CONCATENATE("Total ",E1," Resources Available")</f>
        <v>Total 0 Resources Available</v>
      </c>
      <c r="I30" s="702"/>
      <c r="J30" s="700"/>
    </row>
    <row r="31" spans="2:10" ht="15.75">
      <c r="B31" s="299"/>
      <c r="C31" s="391"/>
      <c r="D31" s="391"/>
      <c r="E31" s="95"/>
      <c r="G31" s="705"/>
      <c r="H31" s="679"/>
      <c r="I31" s="679"/>
      <c r="J31" s="700"/>
    </row>
    <row r="32" spans="2:10" ht="15.75">
      <c r="B32" s="303" t="str">
        <f>CONCATENATE("Cash Forward (",E1," column)")</f>
        <v>Cash Forward (0 column)</v>
      </c>
      <c r="C32" s="391"/>
      <c r="D32" s="391"/>
      <c r="E32" s="95"/>
      <c r="G32" s="703">
        <f>ROUND(C35*0.05+C35,0)</f>
        <v>0</v>
      </c>
      <c r="H32" s="679" t="str">
        <f>CONCATENATE("Less ",E1-2," Expenditures + 5%")</f>
        <v>Less -2 Expenditures + 5%</v>
      </c>
      <c r="I32" s="702"/>
      <c r="J32" s="700"/>
    </row>
    <row r="33" spans="2:10" ht="15.75">
      <c r="B33" s="303" t="s">
        <v>163</v>
      </c>
      <c r="C33" s="391"/>
      <c r="D33" s="391"/>
      <c r="E33" s="95"/>
      <c r="G33" s="706">
        <f>G30-G32</f>
        <v>0</v>
      </c>
      <c r="H33" s="707" t="str">
        <f>CONCATENATE("Projected ",E1+1," carryover (est.)")</f>
        <v>Projected 1 carryover (est.)</v>
      </c>
      <c r="I33" s="708"/>
      <c r="J33" s="709"/>
    </row>
    <row r="34" spans="2:10" ht="15.75">
      <c r="B34" s="303" t="s">
        <v>644</v>
      </c>
      <c r="C34" s="392">
        <f>IF(C35*0.1&lt;C33,"Exceed 10% Rule","")</f>
      </c>
      <c r="D34" s="392">
        <f>IF(D35*0.1&lt;D33,"Exceed 10% Rule","")</f>
      </c>
      <c r="E34" s="330">
        <f>IF(E35*0.1&lt;E33,"Exceed 10% Rule","")</f>
      </c>
      <c r="G34" s="3"/>
      <c r="H34" s="3"/>
      <c r="I34" s="3"/>
      <c r="J34" s="3"/>
    </row>
    <row r="35" spans="2:10" ht="15.75">
      <c r="B35" s="305" t="s">
        <v>280</v>
      </c>
      <c r="C35" s="395">
        <f>SUM(C26:C33)</f>
        <v>0</v>
      </c>
      <c r="D35" s="395">
        <f>SUM(D26:D33)</f>
        <v>0</v>
      </c>
      <c r="E35" s="307">
        <f>SUM(E26:E33)</f>
        <v>0</v>
      </c>
      <c r="G35" s="993" t="s">
        <v>867</v>
      </c>
      <c r="H35" s="994"/>
      <c r="I35" s="994"/>
      <c r="J35" s="995"/>
    </row>
    <row r="36" spans="2:10" ht="15.75">
      <c r="B36" s="137" t="s">
        <v>48</v>
      </c>
      <c r="C36" s="393">
        <f>C24-C35</f>
        <v>0</v>
      </c>
      <c r="D36" s="393">
        <f>D24-D35</f>
        <v>0</v>
      </c>
      <c r="E36" s="318" t="s">
        <v>254</v>
      </c>
      <c r="G36" s="665"/>
      <c r="H36" s="666"/>
      <c r="I36" s="667"/>
      <c r="J36" s="668"/>
    </row>
    <row r="37" spans="2:10" ht="15.75">
      <c r="B37" s="195" t="str">
        <f>CONCATENATE("",E1-2,"/",E1-1,"/",E1," Budget Authority Amount:")</f>
        <v>-2/-1/0 Budget Authority Amount:</v>
      </c>
      <c r="C37" s="326">
        <f>inputOth!B92</f>
        <v>0</v>
      </c>
      <c r="D37" s="326">
        <f>inputPrYr!D34</f>
        <v>0</v>
      </c>
      <c r="E37" s="297">
        <f>E35</f>
        <v>0</v>
      </c>
      <c r="F37" s="319"/>
      <c r="G37" s="669" t="str">
        <f>summ!H30</f>
        <v>  </v>
      </c>
      <c r="H37" s="666" t="str">
        <f>CONCATENATE("",E1," Fund Mill Rate")</f>
        <v>0 Fund Mill Rate</v>
      </c>
      <c r="I37" s="667"/>
      <c r="J37" s="668"/>
    </row>
    <row r="38" spans="2:10" ht="15.75">
      <c r="B38" s="161"/>
      <c r="C38" s="984" t="s">
        <v>649</v>
      </c>
      <c r="D38" s="985"/>
      <c r="E38" s="95"/>
      <c r="F38" s="736">
        <f>IF(E35/0.95-E35&lt;E38,"Exceeds 5%","")</f>
      </c>
      <c r="G38" s="670" t="str">
        <f>summ!E30</f>
        <v>  </v>
      </c>
      <c r="H38" s="666" t="str">
        <f>CONCATENATE("",E1-1," Fund Mill Rate")</f>
        <v>-1 Fund Mill Rate</v>
      </c>
      <c r="I38" s="667"/>
      <c r="J38" s="668"/>
    </row>
    <row r="39" spans="2:10" ht="15.75">
      <c r="B39" s="500" t="str">
        <f>CONCATENATE(C94,"     ",D94)</f>
        <v>     </v>
      </c>
      <c r="C39" s="986" t="s">
        <v>650</v>
      </c>
      <c r="D39" s="987"/>
      <c r="E39" s="297">
        <f>E35+E38</f>
        <v>0</v>
      </c>
      <c r="G39" s="671">
        <f>summ!H56</f>
        <v>0</v>
      </c>
      <c r="H39" s="666" t="str">
        <f>CONCATENATE("Total ",E1," Mill Rate")</f>
        <v>Total 0 Mill Rate</v>
      </c>
      <c r="I39" s="667"/>
      <c r="J39" s="668"/>
    </row>
    <row r="40" spans="2:10" ht="15.75">
      <c r="B40" s="500" t="str">
        <f>CONCATENATE(C95,"     ",D95)</f>
        <v>     </v>
      </c>
      <c r="C40" s="309"/>
      <c r="D40" s="191" t="s">
        <v>281</v>
      </c>
      <c r="E40" s="106">
        <f>IF(E39-E24&gt;0,E39-E24,0)</f>
        <v>0</v>
      </c>
      <c r="G40" s="670">
        <f>summ!E56</f>
        <v>0</v>
      </c>
      <c r="H40" s="672" t="str">
        <f>CONCATENATE("Total ",E1-1," Mill Rate")</f>
        <v>Total -1 Mill Rate</v>
      </c>
      <c r="I40" s="673"/>
      <c r="J40" s="674"/>
    </row>
    <row r="41" spans="2:5" ht="15.75">
      <c r="B41" s="191"/>
      <c r="C41" s="452" t="s">
        <v>651</v>
      </c>
      <c r="D41" s="721">
        <f>inputOth!$E$66</f>
        <v>0</v>
      </c>
      <c r="E41" s="297">
        <f>ROUND(IF(D41&gt;0,(E40*D41),0),0)</f>
        <v>0</v>
      </c>
    </row>
    <row r="42" spans="2:10" ht="16.5" thickBot="1">
      <c r="B42" s="81"/>
      <c r="C42" s="982" t="str">
        <f>CONCATENATE("Amount of  ",$E$1-1," Ad Valorem Tax")</f>
        <v>Amount of  -1 Ad Valorem Tax</v>
      </c>
      <c r="D42" s="983"/>
      <c r="E42" s="322">
        <f>E40+E41</f>
        <v>0</v>
      </c>
      <c r="G42" s="881" t="s">
        <v>1036</v>
      </c>
      <c r="H42" s="882"/>
      <c r="I42" s="884"/>
      <c r="J42" s="883" t="str">
        <f>cert!F57</f>
        <v>No</v>
      </c>
    </row>
    <row r="43" spans="2:10" ht="16.5" thickTop="1">
      <c r="B43" s="81"/>
      <c r="C43" s="81"/>
      <c r="D43" s="81"/>
      <c r="E43" s="81"/>
      <c r="G43" s="874" t="str">
        <f>CONCATENATE("Computed ",E1," tax levy limit amount")</f>
        <v>Computed 0 tax levy limit amount</v>
      </c>
      <c r="H43" s="885"/>
      <c r="I43" s="885"/>
      <c r="J43" s="870">
        <f>computation!J47</f>
        <v>0</v>
      </c>
    </row>
    <row r="44" spans="2:10" ht="15.75">
      <c r="B44" s="84"/>
      <c r="C44" s="166"/>
      <c r="D44" s="166"/>
      <c r="E44" s="166"/>
      <c r="G44" s="876" t="str">
        <f>CONCATENATE("Total ",E1," tax levy amount")</f>
        <v>Total 0 tax levy amount</v>
      </c>
      <c r="H44" s="886"/>
      <c r="I44" s="886"/>
      <c r="J44" s="869">
        <f>summ!G56</f>
        <v>0</v>
      </c>
    </row>
    <row r="45" spans="2:5" ht="15.75">
      <c r="B45" s="84" t="s">
        <v>264</v>
      </c>
      <c r="C45" s="573" t="s">
        <v>781</v>
      </c>
      <c r="D45" s="574" t="s">
        <v>784</v>
      </c>
      <c r="E45" s="168" t="s">
        <v>783</v>
      </c>
    </row>
    <row r="46" spans="2:5" ht="15.75">
      <c r="B46" s="520">
        <f>inputPrYr!B35</f>
        <v>0</v>
      </c>
      <c r="C46" s="399" t="str">
        <f>C5</f>
        <v>Actual for -2</v>
      </c>
      <c r="D46" s="399" t="str">
        <f>D5</f>
        <v>Estimate for -1</v>
      </c>
      <c r="E46" s="218" t="str">
        <f>E5</f>
        <v>Year for 0</v>
      </c>
    </row>
    <row r="47" spans="2:5" ht="15.75">
      <c r="B47" s="311" t="s">
        <v>47</v>
      </c>
      <c r="C47" s="391"/>
      <c r="D47" s="396">
        <f>C78</f>
        <v>0</v>
      </c>
      <c r="E47" s="297">
        <f>D78</f>
        <v>0</v>
      </c>
    </row>
    <row r="48" spans="2:5" ht="15.75">
      <c r="B48" s="312" t="s">
        <v>49</v>
      </c>
      <c r="C48" s="182"/>
      <c r="D48" s="182"/>
      <c r="E48" s="109"/>
    </row>
    <row r="49" spans="2:5" ht="15.75">
      <c r="B49" s="137" t="s">
        <v>265</v>
      </c>
      <c r="C49" s="391"/>
      <c r="D49" s="396">
        <f>IF(inputPrYr!H21&gt;0,inputPrYr!G35,inputPrYr!E35)</f>
        <v>0</v>
      </c>
      <c r="E49" s="318" t="s">
        <v>254</v>
      </c>
    </row>
    <row r="50" spans="2:5" ht="15.75">
      <c r="B50" s="137" t="s">
        <v>266</v>
      </c>
      <c r="C50" s="391"/>
      <c r="D50" s="391"/>
      <c r="E50" s="95"/>
    </row>
    <row r="51" spans="2:5" ht="15.75">
      <c r="B51" s="137" t="s">
        <v>267</v>
      </c>
      <c r="C51" s="391"/>
      <c r="D51" s="391"/>
      <c r="E51" s="297" t="str">
        <f>mvalloc!D20</f>
        <v>  </v>
      </c>
    </row>
    <row r="52" spans="2:5" ht="15.75">
      <c r="B52" s="137" t="s">
        <v>268</v>
      </c>
      <c r="C52" s="391"/>
      <c r="D52" s="391"/>
      <c r="E52" s="297" t="str">
        <f>mvalloc!E20</f>
        <v> </v>
      </c>
    </row>
    <row r="53" spans="2:5" ht="15.75">
      <c r="B53" s="182" t="s">
        <v>37</v>
      </c>
      <c r="C53" s="391"/>
      <c r="D53" s="391"/>
      <c r="E53" s="297" t="str">
        <f>mvalloc!F20</f>
        <v> </v>
      </c>
    </row>
    <row r="54" spans="2:5" ht="15.75">
      <c r="B54" s="327" t="s">
        <v>1023</v>
      </c>
      <c r="C54" s="391"/>
      <c r="D54" s="391"/>
      <c r="E54" s="297" t="str">
        <f>mvalloc!G20</f>
        <v> </v>
      </c>
    </row>
    <row r="55" spans="2:5" ht="15.75">
      <c r="B55" s="327" t="s">
        <v>1024</v>
      </c>
      <c r="C55" s="391"/>
      <c r="D55" s="391"/>
      <c r="E55" s="297" t="str">
        <f>mvalloc!H20</f>
        <v> </v>
      </c>
    </row>
    <row r="56" spans="2:5" ht="15.75">
      <c r="B56" s="299"/>
      <c r="C56" s="391"/>
      <c r="D56" s="391"/>
      <c r="E56" s="95"/>
    </row>
    <row r="57" spans="2:5" ht="15.75">
      <c r="B57" s="299"/>
      <c r="C57" s="391"/>
      <c r="D57" s="391"/>
      <c r="E57" s="95"/>
    </row>
    <row r="58" spans="2:5" ht="15.75">
      <c r="B58" s="299"/>
      <c r="C58" s="391"/>
      <c r="D58" s="391"/>
      <c r="E58" s="95"/>
    </row>
    <row r="59" spans="2:5" ht="15.75">
      <c r="B59" s="299"/>
      <c r="C59" s="391"/>
      <c r="D59" s="391"/>
      <c r="E59" s="95"/>
    </row>
    <row r="60" spans="2:10" ht="15.75">
      <c r="B60" s="299"/>
      <c r="C60" s="391"/>
      <c r="D60" s="391"/>
      <c r="E60" s="95"/>
      <c r="G60" s="996" t="str">
        <f>CONCATENATE("Desired Carryover Into ",E1+1,"")</f>
        <v>Desired Carryover Into 1</v>
      </c>
      <c r="H60" s="991"/>
      <c r="I60" s="991"/>
      <c r="J60" s="992"/>
    </row>
    <row r="61" spans="2:10" ht="15.75">
      <c r="B61" s="313" t="s">
        <v>272</v>
      </c>
      <c r="C61" s="391"/>
      <c r="D61" s="391"/>
      <c r="E61" s="95"/>
      <c r="G61" s="678"/>
      <c r="H61" s="450"/>
      <c r="I61" s="679"/>
      <c r="J61" s="680"/>
    </row>
    <row r="62" spans="2:10" ht="15.75">
      <c r="B62" s="303" t="s">
        <v>162</v>
      </c>
      <c r="C62" s="391"/>
      <c r="D62" s="391"/>
      <c r="E62" s="333">
        <f>nhood!E18*-1</f>
        <v>0</v>
      </c>
      <c r="G62" s="681" t="s">
        <v>652</v>
      </c>
      <c r="H62" s="679"/>
      <c r="I62" s="679"/>
      <c r="J62" s="682">
        <v>0</v>
      </c>
    </row>
    <row r="63" spans="2:10" ht="15.75">
      <c r="B63" s="303" t="s">
        <v>163</v>
      </c>
      <c r="C63" s="391"/>
      <c r="D63" s="391"/>
      <c r="E63" s="95"/>
      <c r="G63" s="678" t="s">
        <v>653</v>
      </c>
      <c r="H63" s="450"/>
      <c r="I63" s="450"/>
      <c r="J63" s="699">
        <f>IF(J62=0,"",ROUND((J62+E84-G75)/inputOth!B14*1000,3)-G80)</f>
      </c>
    </row>
    <row r="64" spans="2:10" ht="15.75">
      <c r="B64" s="303" t="s">
        <v>645</v>
      </c>
      <c r="C64" s="392">
        <f>IF(C65*0.1&lt;C63,"Exceed 10% Rule","")</f>
      </c>
      <c r="D64" s="392">
        <f>IF(D65*0.1&lt;D63,"Exceed 10% Rule","")</f>
      </c>
      <c r="E64" s="330">
        <f>IF(E65*0.1+E84&lt;E63,"Exceed 10% Rule","")</f>
      </c>
      <c r="G64" s="684" t="str">
        <f>CONCATENATE("",E1," Tot Exp/Non-Appr Must Be:")</f>
        <v>0 Tot Exp/Non-Appr Must Be:</v>
      </c>
      <c r="H64" s="685"/>
      <c r="I64" s="686"/>
      <c r="J64" s="687">
        <f>IF(J62&gt;0,IF(E81&lt;E66,IF(J62=G75,E81,((J62-G75)*(1-D83))+E66),E81+(J62-G75)),0)</f>
        <v>0</v>
      </c>
    </row>
    <row r="65" spans="2:10" ht="15.75">
      <c r="B65" s="305" t="s">
        <v>273</v>
      </c>
      <c r="C65" s="395">
        <f>SUM(C49:C63)</f>
        <v>0</v>
      </c>
      <c r="D65" s="395">
        <f>SUM(D49:D63)</f>
        <v>0</v>
      </c>
      <c r="E65" s="307">
        <f>SUM(E49:E63)</f>
        <v>0</v>
      </c>
      <c r="G65" s="651" t="s">
        <v>866</v>
      </c>
      <c r="H65" s="688"/>
      <c r="I65" s="688"/>
      <c r="J65" s="653">
        <f>IF(J62&gt;0,J64-E81,0)</f>
        <v>0</v>
      </c>
    </row>
    <row r="66" spans="2:10" ht="15.75">
      <c r="B66" s="305" t="s">
        <v>274</v>
      </c>
      <c r="C66" s="395">
        <f>C47+C65</f>
        <v>0</v>
      </c>
      <c r="D66" s="395">
        <f>D47+D65</f>
        <v>0</v>
      </c>
      <c r="E66" s="307">
        <f>E47+E65</f>
        <v>0</v>
      </c>
      <c r="J66" s="3"/>
    </row>
    <row r="67" spans="2:10" ht="15.75">
      <c r="B67" s="137" t="s">
        <v>276</v>
      </c>
      <c r="C67" s="303"/>
      <c r="D67" s="303"/>
      <c r="E67" s="94"/>
      <c r="G67" s="996" t="str">
        <f>CONCATENATE("Projected Carryover Into ",E1+1,"")</f>
        <v>Projected Carryover Into 1</v>
      </c>
      <c r="H67" s="999"/>
      <c r="I67" s="999"/>
      <c r="J67" s="1000"/>
    </row>
    <row r="68" spans="2:10" ht="15.75">
      <c r="B68" s="299"/>
      <c r="C68" s="391"/>
      <c r="D68" s="391"/>
      <c r="E68" s="95"/>
      <c r="G68" s="451"/>
      <c r="H68" s="450"/>
      <c r="I68" s="450"/>
      <c r="J68" s="449"/>
    </row>
    <row r="69" spans="2:10" ht="15.75">
      <c r="B69" s="299"/>
      <c r="C69" s="391"/>
      <c r="D69" s="391"/>
      <c r="E69" s="95"/>
      <c r="G69" s="701">
        <f>D78</f>
        <v>0</v>
      </c>
      <c r="H69" s="666" t="str">
        <f>CONCATENATE("",E1-1," Ending Cash Balance (est.)")</f>
        <v>-1 Ending Cash Balance (est.)</v>
      </c>
      <c r="I69" s="702"/>
      <c r="J69" s="449"/>
    </row>
    <row r="70" spans="2:10" ht="15.75">
      <c r="B70" s="299"/>
      <c r="C70" s="391"/>
      <c r="D70" s="391"/>
      <c r="E70" s="95"/>
      <c r="G70" s="701">
        <f>E65</f>
        <v>0</v>
      </c>
      <c r="H70" s="679" t="str">
        <f>CONCATENATE("",E1," Non-AV Receipts (est.)")</f>
        <v>0 Non-AV Receipts (est.)</v>
      </c>
      <c r="I70" s="702"/>
      <c r="J70" s="449"/>
    </row>
    <row r="71" spans="2:11" ht="15.75">
      <c r="B71" s="299"/>
      <c r="C71" s="391"/>
      <c r="D71" s="391"/>
      <c r="E71" s="95"/>
      <c r="G71" s="703">
        <f>IF(D83&gt;0,E82,E84)</f>
        <v>0</v>
      </c>
      <c r="H71" s="679" t="str">
        <f>CONCATENATE("",E1," Ad Valorem Tax (est.)")</f>
        <v>0 Ad Valorem Tax (est.)</v>
      </c>
      <c r="I71" s="702"/>
      <c r="J71" s="449"/>
      <c r="K71" s="694">
        <f>IF(G71=E84,"","Note: Does not include Delinquent Taxes")</f>
      </c>
    </row>
    <row r="72" spans="2:10" ht="15.75">
      <c r="B72" s="299"/>
      <c r="C72" s="391"/>
      <c r="D72" s="391"/>
      <c r="E72" s="95"/>
      <c r="G72" s="476">
        <f>SUM(G69:G71)</f>
        <v>0</v>
      </c>
      <c r="H72" s="679" t="str">
        <f>CONCATENATE("Total ",E1," Resources Available")</f>
        <v>Total 0 Resources Available</v>
      </c>
      <c r="I72" s="449"/>
      <c r="J72" s="449"/>
    </row>
    <row r="73" spans="2:10" ht="15.75">
      <c r="B73" s="299"/>
      <c r="C73" s="391"/>
      <c r="D73" s="391"/>
      <c r="E73" s="95"/>
      <c r="G73" s="473"/>
      <c r="H73" s="475"/>
      <c r="I73" s="450"/>
      <c r="J73" s="449"/>
    </row>
    <row r="74" spans="2:10" ht="15.75">
      <c r="B74" s="303" t="str">
        <f>CONCATENATE("Cash Forward (",E1," column)")</f>
        <v>Cash Forward (0 column)</v>
      </c>
      <c r="C74" s="391"/>
      <c r="D74" s="391"/>
      <c r="E74" s="95"/>
      <c r="G74" s="474">
        <f>ROUND(C77*0.05+C77,0)</f>
        <v>0</v>
      </c>
      <c r="H74" s="475" t="str">
        <f>CONCATENATE("Less ",E1-2," Expenditures + 5%")</f>
        <v>Less -2 Expenditures + 5%</v>
      </c>
      <c r="I74" s="449"/>
      <c r="J74" s="449"/>
    </row>
    <row r="75" spans="2:10" ht="15.75">
      <c r="B75" s="303" t="s">
        <v>163</v>
      </c>
      <c r="C75" s="391"/>
      <c r="D75" s="391"/>
      <c r="E75" s="95"/>
      <c r="G75" s="472">
        <f>G72-G74</f>
        <v>0</v>
      </c>
      <c r="H75" s="471" t="str">
        <f>CONCATENATE("Projected ",E1+1," carryover (est.)")</f>
        <v>Projected 1 carryover (est.)</v>
      </c>
      <c r="I75" s="448"/>
      <c r="J75" s="709"/>
    </row>
    <row r="76" spans="2:9" ht="15.75">
      <c r="B76" s="303" t="s">
        <v>644</v>
      </c>
      <c r="C76" s="392">
        <f>IF(C77*0.1&lt;C75,"Exceed 10% Rule","")</f>
      </c>
      <c r="D76" s="392">
        <f>IF(D77*0.1&lt;D75,"Exceed 10% Rule","")</f>
      </c>
      <c r="E76" s="330">
        <f>IF(E77*0.1&lt;E75,"Exceed 10% Rule","")</f>
      </c>
      <c r="G76" s="3"/>
      <c r="H76" s="3"/>
      <c r="I76" s="3"/>
    </row>
    <row r="77" spans="2:10" ht="15.75">
      <c r="B77" s="305" t="s">
        <v>280</v>
      </c>
      <c r="C77" s="395">
        <f>SUM(C68:C75)</f>
        <v>0</v>
      </c>
      <c r="D77" s="395">
        <f>SUM(D68:D75)</f>
        <v>0</v>
      </c>
      <c r="E77" s="307">
        <f>SUM(E68:E75)</f>
        <v>0</v>
      </c>
      <c r="G77" s="993" t="s">
        <v>867</v>
      </c>
      <c r="H77" s="994"/>
      <c r="I77" s="994"/>
      <c r="J77" s="995"/>
    </row>
    <row r="78" spans="2:10" ht="15.75">
      <c r="B78" s="137" t="s">
        <v>48</v>
      </c>
      <c r="C78" s="393">
        <f>C66-C77</f>
        <v>0</v>
      </c>
      <c r="D78" s="393">
        <f>D66-D77</f>
        <v>0</v>
      </c>
      <c r="E78" s="318" t="s">
        <v>254</v>
      </c>
      <c r="G78" s="665"/>
      <c r="H78" s="666"/>
      <c r="I78" s="667"/>
      <c r="J78" s="668"/>
    </row>
    <row r="79" spans="2:10" ht="15.75">
      <c r="B79" s="195" t="str">
        <f>CONCATENATE("",E1-2,"/",E1-1,"/",E1," Budget Authority Amount:")</f>
        <v>-2/-1/0 Budget Authority Amount:</v>
      </c>
      <c r="C79" s="326">
        <f>inputOth!B93</f>
        <v>0</v>
      </c>
      <c r="D79" s="326">
        <f>inputPrYr!D35</f>
        <v>0</v>
      </c>
      <c r="E79" s="297">
        <f>E77</f>
        <v>0</v>
      </c>
      <c r="F79" s="319"/>
      <c r="G79" s="669" t="str">
        <f>summ!H31</f>
        <v>  </v>
      </c>
      <c r="H79" s="666" t="str">
        <f>CONCATENATE("",E1," Fund Mill Rate")</f>
        <v>0 Fund Mill Rate</v>
      </c>
      <c r="I79" s="667"/>
      <c r="J79" s="668"/>
    </row>
    <row r="80" spans="2:10" ht="15.75">
      <c r="B80" s="161"/>
      <c r="C80" s="984" t="s">
        <v>649</v>
      </c>
      <c r="D80" s="985"/>
      <c r="E80" s="95"/>
      <c r="F80" s="736">
        <f>IF(E77/0.95-E77&lt;E80,"Exceeds 5%","")</f>
      </c>
      <c r="G80" s="670" t="str">
        <f>summ!E31</f>
        <v>  </v>
      </c>
      <c r="H80" s="666" t="str">
        <f>CONCATENATE("",E1-1," Fund Mill Rate")</f>
        <v>-1 Fund Mill Rate</v>
      </c>
      <c r="I80" s="667"/>
      <c r="J80" s="668"/>
    </row>
    <row r="81" spans="2:10" ht="15.75">
      <c r="B81" s="500" t="str">
        <f>CONCATENATE(C96,"     ",D96)</f>
        <v>     </v>
      </c>
      <c r="C81" s="986" t="s">
        <v>650</v>
      </c>
      <c r="D81" s="987"/>
      <c r="E81" s="297">
        <f>E77+E80</f>
        <v>0</v>
      </c>
      <c r="G81" s="671">
        <f>summ!H56</f>
        <v>0</v>
      </c>
      <c r="H81" s="666" t="str">
        <f>CONCATENATE("Total ",E1," Mill Rate")</f>
        <v>Total 0 Mill Rate</v>
      </c>
      <c r="I81" s="667"/>
      <c r="J81" s="668"/>
    </row>
    <row r="82" spans="2:10" ht="15.75">
      <c r="B82" s="500" t="str">
        <f>CONCATENATE(C97,"     ",D97)</f>
        <v>     </v>
      </c>
      <c r="C82" s="309"/>
      <c r="D82" s="191" t="s">
        <v>281</v>
      </c>
      <c r="E82" s="106">
        <f>IF(E81-E66&gt;0,E81-E66,0)</f>
        <v>0</v>
      </c>
      <c r="G82" s="670">
        <f>summ!E56</f>
        <v>0</v>
      </c>
      <c r="H82" s="672" t="str">
        <f>CONCATENATE("Total ",E1-1," Mill Rate")</f>
        <v>Total -1 Mill Rate</v>
      </c>
      <c r="I82" s="673"/>
      <c r="J82" s="674"/>
    </row>
    <row r="83" spans="2:5" ht="15.75">
      <c r="B83" s="191"/>
      <c r="C83" s="452" t="s">
        <v>651</v>
      </c>
      <c r="D83" s="721">
        <f>inputOth!$E$66</f>
        <v>0</v>
      </c>
      <c r="E83" s="297">
        <f>ROUND(IF(D83&gt;0,(E82*D83),0),0)</f>
        <v>0</v>
      </c>
    </row>
    <row r="84" spans="2:10" ht="16.5" thickBot="1">
      <c r="B84" s="81"/>
      <c r="C84" s="982" t="str">
        <f>CONCATENATE("Amount of  ",$E$1-1," Ad Valorem Tax")</f>
        <v>Amount of  -1 Ad Valorem Tax</v>
      </c>
      <c r="D84" s="983"/>
      <c r="E84" s="322">
        <f>E82+E83</f>
        <v>0</v>
      </c>
      <c r="G84" s="881" t="s">
        <v>1036</v>
      </c>
      <c r="H84" s="882"/>
      <c r="I84" s="884"/>
      <c r="J84" s="883" t="str">
        <f>cert!F57</f>
        <v>No</v>
      </c>
    </row>
    <row r="85" spans="2:10" ht="16.5" thickTop="1">
      <c r="B85" s="81"/>
      <c r="C85" s="81"/>
      <c r="D85" s="81"/>
      <c r="E85" s="81"/>
      <c r="G85" s="874" t="str">
        <f>CONCATENATE("Computed ",E1," tax levy limit amount")</f>
        <v>Computed 0 tax levy limit amount</v>
      </c>
      <c r="H85" s="885"/>
      <c r="I85" s="885"/>
      <c r="J85" s="870">
        <f>computation!J47</f>
        <v>0</v>
      </c>
    </row>
    <row r="86" spans="2:10" ht="15.75">
      <c r="B86" s="161" t="s">
        <v>283</v>
      </c>
      <c r="C86" s="839"/>
      <c r="D86" s="81"/>
      <c r="E86" s="81"/>
      <c r="G86" s="876" t="str">
        <f>CONCATENATE("Total ",E1," tax levy amount")</f>
        <v>Total 0 tax levy amount</v>
      </c>
      <c r="H86" s="886"/>
      <c r="I86" s="886"/>
      <c r="J86" s="869">
        <f>summ!G56</f>
        <v>0</v>
      </c>
    </row>
    <row r="94" spans="3:4" ht="15.75" hidden="1">
      <c r="C94" s="77">
        <f>IF(C35&gt;C37,"See Tab A","")</f>
      </c>
      <c r="D94" s="77">
        <f>IF(D35&gt;D37,"See Tab C","")</f>
      </c>
    </row>
    <row r="95" spans="3:4" ht="15.75" hidden="1">
      <c r="C95" s="77">
        <f>IF(C36&lt;0,"See Tab B","")</f>
      </c>
      <c r="D95" s="77">
        <f>IF(D36&lt;0,"See Tab D","")</f>
      </c>
    </row>
    <row r="96" spans="3:4" ht="15.75" hidden="1">
      <c r="C96" s="77">
        <f>IF(C77&gt;C79,"See Tab A","")</f>
      </c>
      <c r="D96" s="77">
        <f>IF(D77&gt;D79,"See Tab C","")</f>
      </c>
    </row>
    <row r="97" spans="3:4" ht="15.75" hidden="1">
      <c r="C97" s="77">
        <f>IF(C78&lt;0,"See Tab B","")</f>
      </c>
      <c r="D97" s="77">
        <f>IF(D78&lt;0,"See Tab D","")</f>
      </c>
    </row>
  </sheetData>
  <sheetProtection sheet="1"/>
  <mergeCells count="12">
    <mergeCell ref="G18:J18"/>
    <mergeCell ref="G25:J25"/>
    <mergeCell ref="G35:J35"/>
    <mergeCell ref="C38:D38"/>
    <mergeCell ref="C39:D39"/>
    <mergeCell ref="C80:D80"/>
    <mergeCell ref="C81:D81"/>
    <mergeCell ref="C84:D84"/>
    <mergeCell ref="C42:D42"/>
    <mergeCell ref="G60:J60"/>
    <mergeCell ref="G67:J67"/>
    <mergeCell ref="G77:J77"/>
  </mergeCells>
  <conditionalFormatting sqref="E75">
    <cfRule type="cellIs" priority="3" dxfId="326" operator="greaterThan" stopIfTrue="1">
      <formula>$E$77*0.1</formula>
    </cfRule>
  </conditionalFormatting>
  <conditionalFormatting sqref="E33">
    <cfRule type="cellIs" priority="4" dxfId="326" operator="greaterThan" stopIfTrue="1">
      <formula>$E$35*0.1</formula>
    </cfRule>
  </conditionalFormatting>
  <conditionalFormatting sqref="E38">
    <cfRule type="cellIs" priority="5" dxfId="326" operator="greaterThan" stopIfTrue="1">
      <formula>$E$35/0.95-$E$35</formula>
    </cfRule>
  </conditionalFormatting>
  <conditionalFormatting sqref="E80">
    <cfRule type="cellIs" priority="6" dxfId="326" operator="greaterThan" stopIfTrue="1">
      <formula>$E$77/0.95-$E$77</formula>
    </cfRule>
  </conditionalFormatting>
  <conditionalFormatting sqref="D75">
    <cfRule type="cellIs" priority="7" dxfId="1" operator="greaterThan" stopIfTrue="1">
      <formula>$D$77*0.1</formula>
    </cfRule>
  </conditionalFormatting>
  <conditionalFormatting sqref="C75">
    <cfRule type="cellIs" priority="8" dxfId="1" operator="greaterThan" stopIfTrue="1">
      <formula>$C$77*0.1</formula>
    </cfRule>
  </conditionalFormatting>
  <conditionalFormatting sqref="D77">
    <cfRule type="cellIs" priority="9" dxfId="1" operator="greaterThan" stopIfTrue="1">
      <formula>$D$79</formula>
    </cfRule>
  </conditionalFormatting>
  <conditionalFormatting sqref="C77">
    <cfRule type="cellIs" priority="10" dxfId="1" operator="greaterThan" stopIfTrue="1">
      <formula>$C$79</formula>
    </cfRule>
  </conditionalFormatting>
  <conditionalFormatting sqref="C78 C36">
    <cfRule type="cellIs" priority="11" dxfId="1" operator="lessThan" stopIfTrue="1">
      <formula>0</formula>
    </cfRule>
  </conditionalFormatting>
  <conditionalFormatting sqref="D63">
    <cfRule type="cellIs" priority="12" dxfId="1" operator="greaterThan" stopIfTrue="1">
      <formula>$D$65*0.1</formula>
    </cfRule>
  </conditionalFormatting>
  <conditionalFormatting sqref="C63">
    <cfRule type="cellIs" priority="13" dxfId="1" operator="greaterThan" stopIfTrue="1">
      <formula>$C$65*0.1</formula>
    </cfRule>
  </conditionalFormatting>
  <conditionalFormatting sqref="D33">
    <cfRule type="cellIs" priority="14" dxfId="1" operator="greaterThan" stopIfTrue="1">
      <formula>$D$35*0.1</formula>
    </cfRule>
  </conditionalFormatting>
  <conditionalFormatting sqref="C33">
    <cfRule type="cellIs" priority="15" dxfId="1" operator="greaterThan" stopIfTrue="1">
      <formula>$C$35*0.1</formula>
    </cfRule>
  </conditionalFormatting>
  <conditionalFormatting sqref="D35">
    <cfRule type="cellIs" priority="16" dxfId="1" operator="greaterThan" stopIfTrue="1">
      <formula>$D$37</formula>
    </cfRule>
  </conditionalFormatting>
  <conditionalFormatting sqref="C35">
    <cfRule type="cellIs" priority="17" dxfId="1" operator="greaterThan" stopIfTrue="1">
      <formula>$C$37</formula>
    </cfRule>
  </conditionalFormatting>
  <conditionalFormatting sqref="D21">
    <cfRule type="cellIs" priority="18" dxfId="1" operator="greaterThan" stopIfTrue="1">
      <formula>$D$23*0.1</formula>
    </cfRule>
  </conditionalFormatting>
  <conditionalFormatting sqref="C21">
    <cfRule type="cellIs" priority="19" dxfId="1" operator="greaterThan" stopIfTrue="1">
      <formula>$C$23*0.1</formula>
    </cfRule>
  </conditionalFormatting>
  <conditionalFormatting sqref="D78 D36">
    <cfRule type="cellIs" priority="2" dxfId="0" operator="lessThan" stopIfTrue="1">
      <formula>0</formula>
    </cfRule>
  </conditionalFormatting>
  <conditionalFormatting sqref="E21">
    <cfRule type="cellIs" priority="67" dxfId="326" operator="greaterThan" stopIfTrue="1">
      <formula>$E$23*0.1+$E$42</formula>
    </cfRule>
  </conditionalFormatting>
  <conditionalFormatting sqref="E63">
    <cfRule type="cellIs" priority="68" dxfId="326" operator="greaterThan" stopIfTrue="1">
      <formula>$E$65*0.1+$E$84</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11" sqref="Q111"/>
    </sheetView>
  </sheetViews>
  <sheetFormatPr defaultColWidth="8.796875" defaultRowHeight="15"/>
  <cols>
    <col min="1" max="1" width="2.3984375" style="506" customWidth="1"/>
    <col min="2" max="2" width="31.09765625" style="77" customWidth="1"/>
    <col min="3" max="4" width="15.796875" style="77" customWidth="1"/>
    <col min="5" max="5" width="16.296875" style="77" customWidth="1"/>
    <col min="6" max="16384" width="8.8984375" style="77"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t="str">
        <f>(inputPrYr!B39)</f>
        <v>Special Highway</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ht="15.75">
      <c r="B7" s="312" t="s">
        <v>49</v>
      </c>
      <c r="C7" s="109"/>
      <c r="D7" s="109"/>
      <c r="E7" s="109"/>
    </row>
    <row r="8" spans="2:5" ht="15.75">
      <c r="B8" s="303" t="s">
        <v>40</v>
      </c>
      <c r="C8" s="95"/>
      <c r="D8" s="315">
        <f>inputOth!E72</f>
        <v>0</v>
      </c>
      <c r="E8" s="297">
        <f>inputOth!E70</f>
        <v>0</v>
      </c>
    </row>
    <row r="9" spans="2:5" ht="15.75">
      <c r="B9" s="316" t="s">
        <v>83</v>
      </c>
      <c r="C9" s="95"/>
      <c r="D9" s="315">
        <f>inputOth!E73</f>
        <v>0</v>
      </c>
      <c r="E9" s="315">
        <f>inputOth!E71</f>
        <v>0</v>
      </c>
    </row>
    <row r="10" spans="2:5" ht="15.75">
      <c r="B10" s="299"/>
      <c r="C10" s="95"/>
      <c r="D10" s="95"/>
      <c r="E10" s="95"/>
    </row>
    <row r="11" spans="2:5" ht="15.75">
      <c r="B11" s="299"/>
      <c r="C11" s="95"/>
      <c r="D11" s="95"/>
      <c r="E11" s="95"/>
    </row>
    <row r="12" spans="2:5" ht="15.75">
      <c r="B12" s="299"/>
      <c r="C12" s="95"/>
      <c r="D12" s="95"/>
      <c r="E12" s="95"/>
    </row>
    <row r="13" spans="2:5" ht="15.75">
      <c r="B13" s="299"/>
      <c r="C13" s="95"/>
      <c r="D13" s="95"/>
      <c r="E13" s="95"/>
    </row>
    <row r="14" spans="2:5" ht="15.75">
      <c r="B14" s="313" t="s">
        <v>272</v>
      </c>
      <c r="C14" s="95"/>
      <c r="D14" s="95"/>
      <c r="E14" s="95"/>
    </row>
    <row r="15" spans="2:5" ht="15.75">
      <c r="B15" s="303" t="s">
        <v>163</v>
      </c>
      <c r="C15" s="95"/>
      <c r="D15" s="296"/>
      <c r="E15" s="296"/>
    </row>
    <row r="16" spans="2:5" ht="15.75">
      <c r="B16" s="303" t="s">
        <v>645</v>
      </c>
      <c r="C16" s="507">
        <f>IF(C17*0.1&lt;C15,"Exceed 10% Rule","")</f>
      </c>
      <c r="D16" s="304">
        <f>IF(D17*0.1&lt;D15,"Exceed 10% Rule","")</f>
      </c>
      <c r="E16" s="304">
        <f>IF(E17*0.1&lt;E15,"Exceed 10% Rule","")</f>
      </c>
    </row>
    <row r="17" spans="2:5" ht="15.75">
      <c r="B17" s="305" t="s">
        <v>273</v>
      </c>
      <c r="C17" s="307">
        <f>SUM(C8:C15)</f>
        <v>0</v>
      </c>
      <c r="D17" s="307">
        <f>SUM(D8:D15)</f>
        <v>0</v>
      </c>
      <c r="E17" s="307">
        <f>SUM(E8:E15)</f>
        <v>0</v>
      </c>
    </row>
    <row r="18" spans="2:5" ht="15.75">
      <c r="B18" s="305" t="s">
        <v>274</v>
      </c>
      <c r="C18" s="307">
        <f>C6+C17</f>
        <v>0</v>
      </c>
      <c r="D18" s="307">
        <f>D6+D17</f>
        <v>0</v>
      </c>
      <c r="E18" s="307">
        <f>E6+E17</f>
        <v>0</v>
      </c>
    </row>
    <row r="19" spans="2:5" ht="15.75">
      <c r="B19" s="137" t="s">
        <v>276</v>
      </c>
      <c r="C19" s="297"/>
      <c r="D19" s="297"/>
      <c r="E19" s="297"/>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SUM(C20:C28)</f>
        <v>0</v>
      </c>
      <c r="D30" s="307">
        <f>SUM(D20:D28)</f>
        <v>0</v>
      </c>
      <c r="E30" s="307">
        <f>SUM(E20:E28)</f>
        <v>0</v>
      </c>
    </row>
    <row r="31" spans="2:5" ht="15.75">
      <c r="B31" s="137" t="s">
        <v>48</v>
      </c>
      <c r="C31" s="106">
        <f>C18-C30</f>
        <v>0</v>
      </c>
      <c r="D31" s="106">
        <f>D18-D30</f>
        <v>0</v>
      </c>
      <c r="E31" s="106">
        <f>E18-E30</f>
        <v>0</v>
      </c>
    </row>
    <row r="32" spans="2:5" ht="15.75">
      <c r="B32" s="195" t="str">
        <f>CONCATENATE("",E1-2,"/",E1-1,"/",E1," Budget Authority Amount:")</f>
        <v>-2/-1/0 Budget Authority Amount:</v>
      </c>
      <c r="C32" s="326">
        <f>inputOth!B94</f>
        <v>0</v>
      </c>
      <c r="D32" s="326">
        <f>inputPrYr!D39</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(inputPrYr!B40)</f>
        <v>0</v>
      </c>
      <c r="C38" s="310" t="str">
        <f>C5</f>
        <v>Actual for -2</v>
      </c>
      <c r="D38" s="310" t="str">
        <f>D5</f>
        <v>Estimate for -1</v>
      </c>
      <c r="E38" s="310" t="str">
        <f>E5</f>
        <v>Year for 0</v>
      </c>
    </row>
    <row r="39" spans="2:5" ht="15.75">
      <c r="B39" s="311" t="s">
        <v>47</v>
      </c>
      <c r="C39" s="95"/>
      <c r="D39" s="297">
        <f>C64</f>
        <v>0</v>
      </c>
      <c r="E39" s="297">
        <f>D64</f>
        <v>0</v>
      </c>
    </row>
    <row r="40" spans="2:5"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299"/>
      <c r="C46" s="95"/>
      <c r="D46" s="95"/>
      <c r="E46" s="95"/>
    </row>
    <row r="47" spans="2:5" ht="15.75">
      <c r="B47" s="313" t="s">
        <v>272</v>
      </c>
      <c r="C47" s="95"/>
      <c r="D47" s="95"/>
      <c r="E47" s="95"/>
    </row>
    <row r="48" spans="2:5" ht="15.75">
      <c r="B48" s="303" t="s">
        <v>163</v>
      </c>
      <c r="C48" s="95"/>
      <c r="D48" s="296"/>
      <c r="E48" s="296"/>
    </row>
    <row r="49" spans="2:5" ht="15.75">
      <c r="B49" s="303" t="s">
        <v>645</v>
      </c>
      <c r="C49" s="507">
        <f>IF(C50*0.1&lt;C48,"Exceed 10% Rule","")</f>
      </c>
      <c r="D49" s="304">
        <f>IF(D50*0.1&lt;D48,"Exceed 10% Rule","")</f>
      </c>
      <c r="E49" s="304">
        <f>IF(E50*0.1&lt;E48,"Exceed 10% Rule","")</f>
      </c>
    </row>
    <row r="50" spans="2:5" ht="15.75">
      <c r="B50" s="305" t="s">
        <v>273</v>
      </c>
      <c r="C50" s="307">
        <f>SUM(C41:C48)</f>
        <v>0</v>
      </c>
      <c r="D50" s="307">
        <f>SUM(D41:D48)</f>
        <v>0</v>
      </c>
      <c r="E50" s="307">
        <f>SUM(E41:E48)</f>
        <v>0</v>
      </c>
    </row>
    <row r="51" spans="2:5" ht="15.75">
      <c r="B51" s="305" t="s">
        <v>274</v>
      </c>
      <c r="C51" s="307">
        <f>C39+C50</f>
        <v>0</v>
      </c>
      <c r="D51" s="307">
        <f>D39+D50</f>
        <v>0</v>
      </c>
      <c r="E51" s="307">
        <f>E39+E50</f>
        <v>0</v>
      </c>
    </row>
    <row r="52" spans="2:5" ht="15.75">
      <c r="B52" s="137" t="s">
        <v>276</v>
      </c>
      <c r="C52" s="297"/>
      <c r="D52" s="297"/>
      <c r="E52" s="297"/>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SUM(C53:C61)</f>
        <v>0</v>
      </c>
      <c r="D63" s="307">
        <f>SUM(D53:D61)</f>
        <v>0</v>
      </c>
      <c r="E63" s="307">
        <f>SUM(E53:E61)</f>
        <v>0</v>
      </c>
    </row>
    <row r="64" spans="2:5" ht="15.75">
      <c r="B64" s="137" t="s">
        <v>48</v>
      </c>
      <c r="C64" s="106">
        <f>C51-C63</f>
        <v>0</v>
      </c>
      <c r="D64" s="106">
        <f>D51-D63</f>
        <v>0</v>
      </c>
      <c r="E64" s="106">
        <f>E51-E63</f>
        <v>0</v>
      </c>
    </row>
    <row r="65" spans="2:5" ht="15.75">
      <c r="B65" s="195" t="str">
        <f>CONCATENATE("",E1-2,"/",E1-1,"/",E1," Budget Authority Amount:")</f>
        <v>-2/-1/0 Budget Authority Amount:</v>
      </c>
      <c r="C65" s="326">
        <f>inputOth!B95</f>
        <v>0</v>
      </c>
      <c r="D65" s="326">
        <f>inputPrYr!$D40</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8">
    <cfRule type="cellIs" priority="4" dxfId="326" operator="greaterThan" stopIfTrue="1">
      <formula>$C$50*0.1</formula>
    </cfRule>
  </conditionalFormatting>
  <conditionalFormatting sqref="D48">
    <cfRule type="cellIs" priority="5" dxfId="326" operator="greaterThan" stopIfTrue="1">
      <formula>$D$50*0.1</formula>
    </cfRule>
  </conditionalFormatting>
  <conditionalFormatting sqref="E48">
    <cfRule type="cellIs" priority="6" dxfId="326" operator="greaterThan" stopIfTrue="1">
      <formula>$E$50*0.1</formula>
    </cfRule>
  </conditionalFormatting>
  <conditionalFormatting sqref="C61">
    <cfRule type="cellIs" priority="7" dxfId="326" operator="greaterThan" stopIfTrue="1">
      <formula>$C$63*0.1</formula>
    </cfRule>
  </conditionalFormatting>
  <conditionalFormatting sqref="D61">
    <cfRule type="cellIs" priority="8" dxfId="326" operator="greaterThan" stopIfTrue="1">
      <formula>$D$63*0.1</formula>
    </cfRule>
  </conditionalFormatting>
  <conditionalFormatting sqref="E61">
    <cfRule type="cellIs" priority="9" dxfId="326" operator="greaterThan" stopIfTrue="1">
      <formula>$E$63*0.1</formula>
    </cfRule>
  </conditionalFormatting>
  <conditionalFormatting sqref="C28">
    <cfRule type="cellIs" priority="10" dxfId="326" operator="greaterThan" stopIfTrue="1">
      <formula>$C$30*0.1</formula>
    </cfRule>
  </conditionalFormatting>
  <conditionalFormatting sqref="D28">
    <cfRule type="cellIs" priority="11" dxfId="326" operator="greaterThan" stopIfTrue="1">
      <formula>$D$30*0.1</formula>
    </cfRule>
  </conditionalFormatting>
  <conditionalFormatting sqref="E28">
    <cfRule type="cellIs" priority="12" dxfId="326" operator="greaterThan" stopIfTrue="1">
      <formula>$E$30*0.1</formula>
    </cfRule>
  </conditionalFormatting>
  <conditionalFormatting sqref="C15">
    <cfRule type="cellIs" priority="13" dxfId="326" operator="greaterThan" stopIfTrue="1">
      <formula>$C$17*0.1</formula>
    </cfRule>
  </conditionalFormatting>
  <conditionalFormatting sqref="D15">
    <cfRule type="cellIs" priority="14" dxfId="326" operator="greaterThan" stopIfTrue="1">
      <formula>$D$17*0.1</formula>
    </cfRule>
  </conditionalFormatting>
  <conditionalFormatting sqref="E15">
    <cfRule type="cellIs" priority="15" dxfId="326" operator="greaterThan" stopIfTrue="1">
      <formula>$E$17*0.1</formula>
    </cfRule>
  </conditionalFormatting>
  <conditionalFormatting sqref="E31 C31 E64">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30">
    <cfRule type="cellIs" priority="18" dxfId="1" operator="greaterThan" stopIfTrue="1">
      <formula>$C$32</formula>
    </cfRule>
  </conditionalFormatting>
  <conditionalFormatting sqref="D63">
    <cfRule type="cellIs" priority="19" dxfId="1" operator="greaterThan" stopIfTrue="1">
      <formula>$D$65</formula>
    </cfRule>
  </conditionalFormatting>
  <conditionalFormatting sqref="C63">
    <cfRule type="cellIs" priority="20" dxfId="1" operator="greaterThan" stopIfTrue="1">
      <formula>$C$65</formula>
    </cfRule>
  </conditionalFormatting>
  <conditionalFormatting sqref="D64">
    <cfRule type="cellIs" priority="3" dxfId="0" operator="lessThan" stopIfTrue="1">
      <formula>0</formula>
    </cfRule>
  </conditionalFormatting>
  <conditionalFormatting sqref="D31">
    <cfRule type="cellIs" priority="2" dxfId="0" operator="lessThan" stopIfTrue="1">
      <formula>0</formula>
    </cfRule>
  </conditionalFormatting>
  <conditionalFormatting sqref="C6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96" sqref="Q96"/>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(inputPrYr!B41)</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inputOth!B96</f>
        <v>0</v>
      </c>
      <c r="D32" s="326">
        <f>inputPrYr!D41</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(inputPrYr!B42)</f>
        <v>0</v>
      </c>
      <c r="C38" s="310" t="str">
        <f>C5</f>
        <v>Actual for -2</v>
      </c>
      <c r="D38" s="310" t="str">
        <f>D5</f>
        <v>Estimate for -1</v>
      </c>
      <c r="E38" s="310" t="str">
        <f>E5</f>
        <v>Year for 0</v>
      </c>
    </row>
    <row r="39" spans="2:5" ht="15.75">
      <c r="B39" s="311" t="s">
        <v>47</v>
      </c>
      <c r="C39" s="95"/>
      <c r="D39" s="297">
        <f>C64</f>
        <v>0</v>
      </c>
      <c r="E39" s="297">
        <f>D64</f>
        <v>0</v>
      </c>
    </row>
    <row r="40" spans="2:5"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inputOth!B97</f>
        <v>0</v>
      </c>
      <c r="D65" s="326">
        <f>inputPrYr!D42</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3" dxfId="326" operator="greaterThan" stopIfTrue="1">
      <formula>$C$49*0.1</formula>
    </cfRule>
  </conditionalFormatting>
  <conditionalFormatting sqref="D47">
    <cfRule type="cellIs" priority="4" dxfId="326" operator="greaterThan" stopIfTrue="1">
      <formula>$D$49*0.1</formula>
    </cfRule>
  </conditionalFormatting>
  <conditionalFormatting sqref="E47">
    <cfRule type="cellIs" priority="5" dxfId="326" operator="greaterThan" stopIfTrue="1">
      <formula>$E$49*0.1</formula>
    </cfRule>
  </conditionalFormatting>
  <conditionalFormatting sqref="C61">
    <cfRule type="cellIs" priority="6" dxfId="326" operator="greaterThan" stopIfTrue="1">
      <formula>$C$63*0.1</formula>
    </cfRule>
  </conditionalFormatting>
  <conditionalFormatting sqref="D61">
    <cfRule type="cellIs" priority="7" dxfId="326" operator="greaterThan" stopIfTrue="1">
      <formula>$D$63*0.1</formula>
    </cfRule>
  </conditionalFormatting>
  <conditionalFormatting sqref="E61">
    <cfRule type="cellIs" priority="8" dxfId="326" operator="greaterThan" stopIfTrue="1">
      <formula>$E$63*0.1</formula>
    </cfRule>
  </conditionalFormatting>
  <conditionalFormatting sqref="C28">
    <cfRule type="cellIs" priority="9" dxfId="326" operator="greaterThan" stopIfTrue="1">
      <formula>$C$30*0.1</formula>
    </cfRule>
  </conditionalFormatting>
  <conditionalFormatting sqref="D28">
    <cfRule type="cellIs" priority="10"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2" dxfId="326" operator="greaterThan" stopIfTrue="1">
      <formula>$C$16*0.1</formula>
    </cfRule>
  </conditionalFormatting>
  <conditionalFormatting sqref="D14">
    <cfRule type="cellIs" priority="13" dxfId="326" operator="greaterThan" stopIfTrue="1">
      <formula>$D$16*0.1</formula>
    </cfRule>
  </conditionalFormatting>
  <conditionalFormatting sqref="E14">
    <cfRule type="cellIs" priority="14" dxfId="326" operator="greaterThan" stopIfTrue="1">
      <formula>$E$16*0.1</formula>
    </cfRule>
  </conditionalFormatting>
  <conditionalFormatting sqref="E64 C64 E31 C31">
    <cfRule type="cellIs" priority="15" dxfId="1" operator="lessThan" stopIfTrue="1">
      <formula>0</formula>
    </cfRule>
  </conditionalFormatting>
  <conditionalFormatting sqref="D63">
    <cfRule type="cellIs" priority="16" dxfId="1" operator="greaterThan" stopIfTrue="1">
      <formula>$D$65</formula>
    </cfRule>
  </conditionalFormatting>
  <conditionalFormatting sqref="C63">
    <cfRule type="cellIs" priority="17" dxfId="1" operator="greaterThan" stopIfTrue="1">
      <formula>$C$65</formula>
    </cfRule>
  </conditionalFormatting>
  <conditionalFormatting sqref="D30">
    <cfRule type="cellIs" priority="18" dxfId="1" operator="greaterThan" stopIfTrue="1">
      <formula>$D$32</formula>
    </cfRule>
  </conditionalFormatting>
  <conditionalFormatting sqref="C30">
    <cfRule type="cellIs" priority="19" dxfId="1" operator="greaterThan" stopIfTrue="1">
      <formula>$C$32</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02" sqref="Q102"/>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(inputPrYr!B43)</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inputOth!B98</f>
        <v>0</v>
      </c>
      <c r="D32" s="326">
        <f>inputPrYr!D43</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(inputPrYr!B44)</f>
        <v>0</v>
      </c>
      <c r="C38" s="310" t="str">
        <f>C5</f>
        <v>Actual for -2</v>
      </c>
      <c r="D38" s="310" t="str">
        <f>D5</f>
        <v>Estimate for -1</v>
      </c>
      <c r="E38" s="310" t="str">
        <f>E5</f>
        <v>Year for 0</v>
      </c>
    </row>
    <row r="39" spans="2:5" ht="15.75">
      <c r="B39" s="311" t="s">
        <v>47</v>
      </c>
      <c r="C39" s="95"/>
      <c r="D39" s="297">
        <f>C64</f>
        <v>0</v>
      </c>
      <c r="E39" s="297">
        <f>D64</f>
        <v>0</v>
      </c>
    </row>
    <row r="40" spans="2:5"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inputOth!B99</f>
        <v>0</v>
      </c>
      <c r="D65" s="326">
        <f>inputPrYr!D44</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3" dxfId="326" operator="greaterThan" stopIfTrue="1">
      <formula>$C$49*0.1</formula>
    </cfRule>
  </conditionalFormatting>
  <conditionalFormatting sqref="D47">
    <cfRule type="cellIs" priority="4" dxfId="326" operator="greaterThan" stopIfTrue="1">
      <formula>$D$49*0.1</formula>
    </cfRule>
  </conditionalFormatting>
  <conditionalFormatting sqref="E47">
    <cfRule type="cellIs" priority="5" dxfId="326" operator="greaterThan" stopIfTrue="1">
      <formula>$E$49*0.1</formula>
    </cfRule>
  </conditionalFormatting>
  <conditionalFormatting sqref="C61">
    <cfRule type="cellIs" priority="6" dxfId="326" operator="greaterThan" stopIfTrue="1">
      <formula>$C$63*0.1</formula>
    </cfRule>
  </conditionalFormatting>
  <conditionalFormatting sqref="D61">
    <cfRule type="cellIs" priority="7" dxfId="326" operator="greaterThan" stopIfTrue="1">
      <formula>$D$63*0.1</formula>
    </cfRule>
  </conditionalFormatting>
  <conditionalFormatting sqref="E61">
    <cfRule type="cellIs" priority="8" dxfId="326" operator="greaterThan" stopIfTrue="1">
      <formula>$E$63*0.1</formula>
    </cfRule>
  </conditionalFormatting>
  <conditionalFormatting sqref="C28">
    <cfRule type="cellIs" priority="9" dxfId="326" operator="greaterThan" stopIfTrue="1">
      <formula>$C$30*0.1</formula>
    </cfRule>
  </conditionalFormatting>
  <conditionalFormatting sqref="D28">
    <cfRule type="cellIs" priority="10"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2" dxfId="326" operator="greaterThan" stopIfTrue="1">
      <formula>$C$16*0.1</formula>
    </cfRule>
  </conditionalFormatting>
  <conditionalFormatting sqref="D14">
    <cfRule type="cellIs" priority="13" dxfId="326" operator="greaterThan" stopIfTrue="1">
      <formula>$D$16*0.1</formula>
    </cfRule>
  </conditionalFormatting>
  <conditionalFormatting sqref="E14">
    <cfRule type="cellIs" priority="14" dxfId="326" operator="greaterThan" stopIfTrue="1">
      <formula>$E$16*0.1</formula>
    </cfRule>
  </conditionalFormatting>
  <conditionalFormatting sqref="E64 C64 E31 C31">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greaterThan" stopIfTrue="1">
      <formula>$C$65</formula>
    </cfRule>
  </conditionalFormatting>
  <conditionalFormatting sqref="D63">
    <cfRule type="cellIs" priority="19" dxfId="1" operator="greaterThan" stopIfTrue="1">
      <formula>$D$65</formula>
    </cfRule>
  </conditionalFormatting>
  <conditionalFormatting sqref="D64 D31">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40" sqref="Q140"/>
    </sheetView>
  </sheetViews>
  <sheetFormatPr defaultColWidth="8.796875" defaultRowHeight="15"/>
  <cols>
    <col min="1" max="1" width="2.3984375" style="77" customWidth="1"/>
    <col min="2" max="2" width="31.09765625" style="77" customWidth="1"/>
    <col min="3" max="4" width="15.796875" style="77" customWidth="1"/>
    <col min="5" max="5" width="16.69921875" style="77" customWidth="1"/>
    <col min="6" max="16384" width="8.8984375" style="77"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inputPrYr!B45</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inputOth!B100</f>
        <v>0</v>
      </c>
      <c r="D32" s="326">
        <f>inputPrYr!D45</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inputPrYr!B46</f>
        <v>0</v>
      </c>
      <c r="C38" s="310" t="str">
        <f>C5</f>
        <v>Actual for -2</v>
      </c>
      <c r="D38" s="310" t="str">
        <f>D5</f>
        <v>Estimate for -1</v>
      </c>
      <c r="E38" s="310" t="str">
        <f>E5</f>
        <v>Year for 0</v>
      </c>
    </row>
    <row r="39" spans="2:5" ht="15.75">
      <c r="B39" s="311" t="s">
        <v>47</v>
      </c>
      <c r="C39" s="95"/>
      <c r="D39" s="297">
        <f>C64</f>
        <v>0</v>
      </c>
      <c r="E39" s="297">
        <f>D64</f>
        <v>0</v>
      </c>
    </row>
    <row r="40" spans="2:5"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13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inputOth!B101</f>
        <v>0</v>
      </c>
      <c r="D65" s="326">
        <f>inputPrYr!D46</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3" dxfId="326" operator="greaterThan" stopIfTrue="1">
      <formula>$C$49*0.1</formula>
    </cfRule>
  </conditionalFormatting>
  <conditionalFormatting sqref="D47">
    <cfRule type="cellIs" priority="4" dxfId="326" operator="greaterThan" stopIfTrue="1">
      <formula>$D$49*0.1</formula>
    </cfRule>
  </conditionalFormatting>
  <conditionalFormatting sqref="E47">
    <cfRule type="cellIs" priority="5" dxfId="326" operator="greaterThan" stopIfTrue="1">
      <formula>$E$49*0.1</formula>
    </cfRule>
  </conditionalFormatting>
  <conditionalFormatting sqref="C61">
    <cfRule type="cellIs" priority="6" dxfId="326" operator="greaterThan" stopIfTrue="1">
      <formula>$C$63*0.1</formula>
    </cfRule>
  </conditionalFormatting>
  <conditionalFormatting sqref="D61">
    <cfRule type="cellIs" priority="7" dxfId="326" operator="greaterThan" stopIfTrue="1">
      <formula>$D$63*0.1</formula>
    </cfRule>
  </conditionalFormatting>
  <conditionalFormatting sqref="E61">
    <cfRule type="cellIs" priority="8" dxfId="326" operator="greaterThan" stopIfTrue="1">
      <formula>$E$63*0.1</formula>
    </cfRule>
  </conditionalFormatting>
  <conditionalFormatting sqref="C28">
    <cfRule type="cellIs" priority="9" dxfId="326" operator="greaterThan" stopIfTrue="1">
      <formula>$C$30*0.1</formula>
    </cfRule>
  </conditionalFormatting>
  <conditionalFormatting sqref="D28">
    <cfRule type="cellIs" priority="10"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2" dxfId="326" operator="greaterThan" stopIfTrue="1">
      <formula>$C$16*0.1</formula>
    </cfRule>
  </conditionalFormatting>
  <conditionalFormatting sqref="D14">
    <cfRule type="cellIs" priority="13" dxfId="326" operator="greaterThan" stopIfTrue="1">
      <formula>$D$16*0.1</formula>
    </cfRule>
  </conditionalFormatting>
  <conditionalFormatting sqref="E14">
    <cfRule type="cellIs" priority="14" dxfId="326" operator="greaterThan" stopIfTrue="1">
      <formula>$E$16*0.1</formula>
    </cfRule>
  </conditionalFormatting>
  <conditionalFormatting sqref="E31 C31 E64 C64">
    <cfRule type="cellIs" priority="15" dxfId="1" operator="lessThan" stopIfTrue="1">
      <formula>0</formula>
    </cfRule>
  </conditionalFormatting>
  <conditionalFormatting sqref="C30">
    <cfRule type="cellIs" priority="16" dxfId="1" operator="greaterThan" stopIfTrue="1">
      <formula>$C$32</formula>
    </cfRule>
  </conditionalFormatting>
  <conditionalFormatting sqref="D30">
    <cfRule type="cellIs" priority="17" dxfId="1" operator="greaterThan" stopIfTrue="1">
      <formula>$D$32</formula>
    </cfRule>
  </conditionalFormatting>
  <conditionalFormatting sqref="C63">
    <cfRule type="cellIs" priority="18" dxfId="1" operator="greaterThan" stopIfTrue="1">
      <formula>$C$65</formula>
    </cfRule>
  </conditionalFormatting>
  <conditionalFormatting sqref="D63">
    <cfRule type="cellIs" priority="19" dxfId="1" operator="greaterThan" stopIfTrue="1">
      <formula>$D$65</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33" sqref="Q133"/>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inputPrYr!B47</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inputOth!B102</f>
        <v>0</v>
      </c>
      <c r="D32" s="326">
        <f>inputPrYr!D47</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inputPrYr!B48</f>
        <v>0</v>
      </c>
      <c r="C38" s="310" t="str">
        <f>C5</f>
        <v>Actual for -2</v>
      </c>
      <c r="D38" s="310" t="str">
        <f>D5</f>
        <v>Estimate for -1</v>
      </c>
      <c r="E38" s="310" t="str">
        <f>E5</f>
        <v>Year for 0</v>
      </c>
    </row>
    <row r="39" spans="2:5" ht="15.75">
      <c r="B39" s="311" t="s">
        <v>47</v>
      </c>
      <c r="C39" s="95"/>
      <c r="D39" s="297">
        <f>C64</f>
        <v>0</v>
      </c>
      <c r="E39" s="297">
        <f>D64</f>
        <v>0</v>
      </c>
    </row>
    <row r="40" spans="2:5"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inputOth!B103</f>
        <v>0</v>
      </c>
      <c r="D65" s="326">
        <f>inputPrYr!D48</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3" dxfId="326" operator="greaterThan" stopIfTrue="1">
      <formula>$C$49*0.1</formula>
    </cfRule>
  </conditionalFormatting>
  <conditionalFormatting sqref="D47">
    <cfRule type="cellIs" priority="4" dxfId="326" operator="greaterThan" stopIfTrue="1">
      <formula>$D$49*0.1</formula>
    </cfRule>
  </conditionalFormatting>
  <conditionalFormatting sqref="E47">
    <cfRule type="cellIs" priority="5" dxfId="326" operator="greaterThan" stopIfTrue="1">
      <formula>$E$49*0.1</formula>
    </cfRule>
  </conditionalFormatting>
  <conditionalFormatting sqref="C61">
    <cfRule type="cellIs" priority="6" dxfId="326" operator="greaterThan" stopIfTrue="1">
      <formula>$C$63*0.1</formula>
    </cfRule>
  </conditionalFormatting>
  <conditionalFormatting sqref="D61">
    <cfRule type="cellIs" priority="7" dxfId="326" operator="greaterThan" stopIfTrue="1">
      <formula>$D$63*0.1</formula>
    </cfRule>
  </conditionalFormatting>
  <conditionalFormatting sqref="E61">
    <cfRule type="cellIs" priority="8" dxfId="326" operator="greaterThan" stopIfTrue="1">
      <formula>$E$63*0.1</formula>
    </cfRule>
  </conditionalFormatting>
  <conditionalFormatting sqref="C28">
    <cfRule type="cellIs" priority="9" dxfId="326" operator="greaterThan" stopIfTrue="1">
      <formula>$C$30*0.1</formula>
    </cfRule>
  </conditionalFormatting>
  <conditionalFormatting sqref="D28">
    <cfRule type="cellIs" priority="10"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2" dxfId="326" operator="greaterThan" stopIfTrue="1">
      <formula>$C$16*0.1</formula>
    </cfRule>
  </conditionalFormatting>
  <conditionalFormatting sqref="D14">
    <cfRule type="cellIs" priority="13" dxfId="326" operator="greaterThan" stopIfTrue="1">
      <formula>$D$16*0.1</formula>
    </cfRule>
  </conditionalFormatting>
  <conditionalFormatting sqref="E14">
    <cfRule type="cellIs" priority="14" dxfId="326" operator="greaterThan" stopIfTrue="1">
      <formula>$E$16*0.1</formula>
    </cfRule>
  </conditionalFormatting>
  <conditionalFormatting sqref="E31 C31 E64 C64">
    <cfRule type="cellIs" priority="15" dxfId="1" operator="lessThan" stopIfTrue="1">
      <formula>0</formula>
    </cfRule>
  </conditionalFormatting>
  <conditionalFormatting sqref="C30">
    <cfRule type="cellIs" priority="16" dxfId="1" operator="greaterThan" stopIfTrue="1">
      <formula>$C$32</formula>
    </cfRule>
  </conditionalFormatting>
  <conditionalFormatting sqref="D30">
    <cfRule type="cellIs" priority="17" dxfId="1" operator="greaterThan" stopIfTrue="1">
      <formula>$D$32</formula>
    </cfRule>
  </conditionalFormatting>
  <conditionalFormatting sqref="C63">
    <cfRule type="cellIs" priority="18" dxfId="1" operator="greaterThan" stopIfTrue="1">
      <formula>$C$65</formula>
    </cfRule>
  </conditionalFormatting>
  <conditionalFormatting sqref="D63">
    <cfRule type="cellIs" priority="19" dxfId="1" operator="greaterThan" stopIfTrue="1">
      <formula>$D$65</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33" sqref="Q133"/>
    </sheetView>
  </sheetViews>
  <sheetFormatPr defaultColWidth="8.796875" defaultRowHeight="15"/>
  <cols>
    <col min="1" max="1" width="2.3984375" style="65" customWidth="1"/>
    <col min="2" max="2" width="31.09765625" style="65" customWidth="1"/>
    <col min="3" max="5" width="15.796875" style="65" customWidth="1"/>
    <col min="6" max="16384" width="8.8984375" style="65"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inputPrYr!B49</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s="77" customFormat="1"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inputOth!B104</f>
        <v>0</v>
      </c>
      <c r="D32" s="326">
        <f>inputPrYr!D49</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inputPrYr!B50</f>
        <v>0</v>
      </c>
      <c r="C38" s="310" t="str">
        <f>C5</f>
        <v>Actual for -2</v>
      </c>
      <c r="D38" s="310" t="str">
        <f>D5</f>
        <v>Estimate for -1</v>
      </c>
      <c r="E38" s="310" t="str">
        <f>E5</f>
        <v>Year for 0</v>
      </c>
    </row>
    <row r="39" spans="2:5" ht="15.75">
      <c r="B39" s="311" t="s">
        <v>47</v>
      </c>
      <c r="C39" s="95"/>
      <c r="D39" s="297">
        <f>C64</f>
        <v>0</v>
      </c>
      <c r="E39" s="297">
        <f>D64</f>
        <v>0</v>
      </c>
    </row>
    <row r="40" spans="2:5" s="77" customFormat="1"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inputOth!B105</f>
        <v>0</v>
      </c>
      <c r="D65" s="326">
        <f>inputPrYr!D50</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3" dxfId="326" operator="greaterThan" stopIfTrue="1">
      <formula>$C$49*0.1</formula>
    </cfRule>
  </conditionalFormatting>
  <conditionalFormatting sqref="D47">
    <cfRule type="cellIs" priority="4" dxfId="326" operator="greaterThan" stopIfTrue="1">
      <formula>$D$49*0.1</formula>
    </cfRule>
  </conditionalFormatting>
  <conditionalFormatting sqref="E47">
    <cfRule type="cellIs" priority="5" dxfId="326" operator="greaterThan" stopIfTrue="1">
      <formula>$E$49*0.1</formula>
    </cfRule>
  </conditionalFormatting>
  <conditionalFormatting sqref="C61">
    <cfRule type="cellIs" priority="6" dxfId="326" operator="greaterThan" stopIfTrue="1">
      <formula>$C$63*0.1</formula>
    </cfRule>
  </conditionalFormatting>
  <conditionalFormatting sqref="D61">
    <cfRule type="cellIs" priority="7" dxfId="326" operator="greaterThan" stopIfTrue="1">
      <formula>$D$63*0.1</formula>
    </cfRule>
  </conditionalFormatting>
  <conditionalFormatting sqref="E61">
    <cfRule type="cellIs" priority="8" dxfId="326" operator="greaterThan" stopIfTrue="1">
      <formula>$E$63*0.1</formula>
    </cfRule>
  </conditionalFormatting>
  <conditionalFormatting sqref="C28">
    <cfRule type="cellIs" priority="9" dxfId="326" operator="greaterThan" stopIfTrue="1">
      <formula>$C$30*0.1</formula>
    </cfRule>
  </conditionalFormatting>
  <conditionalFormatting sqref="D28">
    <cfRule type="cellIs" priority="10"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2" dxfId="326" operator="greaterThan" stopIfTrue="1">
      <formula>$C$16*0.1</formula>
    </cfRule>
  </conditionalFormatting>
  <conditionalFormatting sqref="D14">
    <cfRule type="cellIs" priority="13" dxfId="326" operator="greaterThan" stopIfTrue="1">
      <formula>$D$16*0.1</formula>
    </cfRule>
  </conditionalFormatting>
  <conditionalFormatting sqref="E14">
    <cfRule type="cellIs" priority="14" dxfId="326" operator="greaterThan" stopIfTrue="1">
      <formula>$E$16*0.1</formula>
    </cfRule>
  </conditionalFormatting>
  <conditionalFormatting sqref="E31 C31 E64 C64">
    <cfRule type="cellIs" priority="15" dxfId="1" operator="lessThan" stopIfTrue="1">
      <formula>0</formula>
    </cfRule>
  </conditionalFormatting>
  <conditionalFormatting sqref="C30">
    <cfRule type="cellIs" priority="16" dxfId="1" operator="greaterThan" stopIfTrue="1">
      <formula>$C$32</formula>
    </cfRule>
  </conditionalFormatting>
  <conditionalFormatting sqref="D30">
    <cfRule type="cellIs" priority="17" dxfId="1" operator="greaterThan" stopIfTrue="1">
      <formula>$D$32</formula>
    </cfRule>
  </conditionalFormatting>
  <conditionalFormatting sqref="C63">
    <cfRule type="cellIs" priority="18" dxfId="1" operator="greaterThan" stopIfTrue="1">
      <formula>$C$65</formula>
    </cfRule>
  </conditionalFormatting>
  <conditionalFormatting sqref="D63">
    <cfRule type="cellIs" priority="19" dxfId="1" operator="greaterThan" stopIfTrue="1">
      <formula>$D$65</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31" sqref="Q131"/>
    </sheetView>
  </sheetViews>
  <sheetFormatPr defaultColWidth="8.796875" defaultRowHeight="15"/>
  <cols>
    <col min="1" max="1" width="2.3984375" style="65" customWidth="1"/>
    <col min="2" max="2" width="31.09765625" style="65" customWidth="1"/>
    <col min="3" max="5" width="15.796875" style="65" customWidth="1"/>
    <col min="6" max="16384" width="8.8984375" style="65"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inputPrYr!B51</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s="77" customFormat="1"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inputOth!B106</f>
        <v>0</v>
      </c>
      <c r="D32" s="326">
        <f>inputPrYr!D51</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inputPrYr!B52</f>
        <v>0</v>
      </c>
      <c r="C38" s="310" t="str">
        <f>C5</f>
        <v>Actual for -2</v>
      </c>
      <c r="D38" s="310" t="str">
        <f>D5</f>
        <v>Estimate for -1</v>
      </c>
      <c r="E38" s="310" t="str">
        <f>E5</f>
        <v>Year for 0</v>
      </c>
    </row>
    <row r="39" spans="2:5" ht="15.75">
      <c r="B39" s="311" t="s">
        <v>47</v>
      </c>
      <c r="C39" s="95"/>
      <c r="D39" s="297">
        <f>C64</f>
        <v>0</v>
      </c>
      <c r="E39" s="297">
        <f>D64</f>
        <v>0</v>
      </c>
    </row>
    <row r="40" spans="2:5" s="77" customFormat="1"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inputOth!B107</f>
        <v>0</v>
      </c>
      <c r="D65" s="326">
        <f>inputPrYr!D52</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247"/>
      <c r="D69" s="81"/>
      <c r="E69" s="81"/>
    </row>
  </sheetData>
  <sheetProtection sheet="1"/>
  <conditionalFormatting sqref="C47">
    <cfRule type="cellIs" priority="19" dxfId="326" operator="greaterThan" stopIfTrue="1">
      <formula>$C$49*0.1</formula>
    </cfRule>
  </conditionalFormatting>
  <conditionalFormatting sqref="D47">
    <cfRule type="cellIs" priority="18" dxfId="326" operator="greaterThan" stopIfTrue="1">
      <formula>$D$49*0.1</formula>
    </cfRule>
  </conditionalFormatting>
  <conditionalFormatting sqref="E47">
    <cfRule type="cellIs" priority="17" dxfId="326" operator="greaterThan" stopIfTrue="1">
      <formula>$E$49*0.1</formula>
    </cfRule>
  </conditionalFormatting>
  <conditionalFormatting sqref="C61">
    <cfRule type="cellIs" priority="16" dxfId="326" operator="greaterThan" stopIfTrue="1">
      <formula>$C$63*0.1</formula>
    </cfRule>
  </conditionalFormatting>
  <conditionalFormatting sqref="D61">
    <cfRule type="cellIs" priority="15" dxfId="326" operator="greaterThan" stopIfTrue="1">
      <formula>$D$63*0.1</formula>
    </cfRule>
  </conditionalFormatting>
  <conditionalFormatting sqref="E61">
    <cfRule type="cellIs" priority="14" dxfId="326" operator="greaterThan" stopIfTrue="1">
      <formula>$E$63*0.1</formula>
    </cfRule>
  </conditionalFormatting>
  <conditionalFormatting sqref="C28">
    <cfRule type="cellIs" priority="13" dxfId="326" operator="greaterThan" stopIfTrue="1">
      <formula>$C$30*0.1</formula>
    </cfRule>
  </conditionalFormatting>
  <conditionalFormatting sqref="D28">
    <cfRule type="cellIs" priority="12"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0" dxfId="326" operator="greaterThan" stopIfTrue="1">
      <formula>$C$16*0.1</formula>
    </cfRule>
  </conditionalFormatting>
  <conditionalFormatting sqref="D14">
    <cfRule type="cellIs" priority="9" dxfId="326" operator="greaterThan" stopIfTrue="1">
      <formula>$D$16*0.1</formula>
    </cfRule>
  </conditionalFormatting>
  <conditionalFormatting sqref="E14">
    <cfRule type="cellIs" priority="8" dxfId="326" operator="greaterThan" stopIfTrue="1">
      <formula>$E$16*0.1</formula>
    </cfRule>
  </conditionalFormatting>
  <conditionalFormatting sqref="E31 C31 E64 C64">
    <cfRule type="cellIs" priority="7" dxfId="1" operator="lessThan" stopIfTrue="1">
      <formula>0</formula>
    </cfRule>
  </conditionalFormatting>
  <conditionalFormatting sqref="C30">
    <cfRule type="cellIs" priority="6" dxfId="1" operator="greaterThan" stopIfTrue="1">
      <formula>$C$32</formula>
    </cfRule>
  </conditionalFormatting>
  <conditionalFormatting sqref="D30">
    <cfRule type="cellIs" priority="5" dxfId="1" operator="greaterThan" stopIfTrue="1">
      <formula>$D$32</formula>
    </cfRule>
  </conditionalFormatting>
  <conditionalFormatting sqref="C63">
    <cfRule type="cellIs" priority="4" dxfId="1" operator="greaterThan" stopIfTrue="1">
      <formula>$C$65</formula>
    </cfRule>
  </conditionalFormatting>
  <conditionalFormatting sqref="D63">
    <cfRule type="cellIs" priority="3" dxfId="1" operator="greaterThan" stopIfTrue="1">
      <formula>$D$65</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worksheet>
</file>

<file path=xl/worksheets/sheet28.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Q128" sqref="Q128"/>
    </sheetView>
  </sheetViews>
  <sheetFormatPr defaultColWidth="8.796875" defaultRowHeight="15"/>
  <cols>
    <col min="1" max="1" width="2.3984375" style="65" customWidth="1"/>
    <col min="2" max="2" width="31.09765625" style="65" customWidth="1"/>
    <col min="3" max="5" width="15.796875" style="65" customWidth="1"/>
    <col min="6" max="16384" width="8.8984375" style="65" customWidth="1"/>
  </cols>
  <sheetData>
    <row r="1" spans="2:5" ht="15.75">
      <c r="B1" s="205">
        <f>(inputPrYr!D3)</f>
        <v>0</v>
      </c>
      <c r="C1" s="81"/>
      <c r="D1" s="81"/>
      <c r="E1" s="227">
        <f>inputPrYr!C10</f>
        <v>0</v>
      </c>
    </row>
    <row r="2" spans="2:5" ht="15.75">
      <c r="B2" s="81"/>
      <c r="C2" s="81"/>
      <c r="D2" s="81"/>
      <c r="E2" s="191"/>
    </row>
    <row r="3" spans="2:5" ht="15.75">
      <c r="B3" s="293" t="s">
        <v>7</v>
      </c>
      <c r="C3" s="241"/>
      <c r="D3" s="241"/>
      <c r="E3" s="241"/>
    </row>
    <row r="4" spans="2:5" ht="15.75">
      <c r="B4" s="84" t="s">
        <v>264</v>
      </c>
      <c r="C4" s="573" t="s">
        <v>781</v>
      </c>
      <c r="D4" s="574" t="s">
        <v>782</v>
      </c>
      <c r="E4" s="168" t="s">
        <v>783</v>
      </c>
    </row>
    <row r="5" spans="2:5" ht="15.75">
      <c r="B5" s="520">
        <f>inputPrYr!B53</f>
        <v>0</v>
      </c>
      <c r="C5" s="399" t="str">
        <f>CONCATENATE("Actual for ",E1-2,"")</f>
        <v>Actual for -2</v>
      </c>
      <c r="D5" s="399" t="str">
        <f>CONCATENATE("Estimate for ",E1-1,"")</f>
        <v>Estimate for -1</v>
      </c>
      <c r="E5" s="218" t="str">
        <f>CONCATENATE("Year for ",E1,"")</f>
        <v>Year for 0</v>
      </c>
    </row>
    <row r="6" spans="2:5" ht="15.75">
      <c r="B6" s="311" t="s">
        <v>47</v>
      </c>
      <c r="C6" s="95"/>
      <c r="D6" s="297">
        <f>C31</f>
        <v>0</v>
      </c>
      <c r="E6" s="297">
        <f>D31</f>
        <v>0</v>
      </c>
    </row>
    <row r="7" spans="2:5" s="77" customFormat="1" ht="15.75">
      <c r="B7" s="312"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313" t="s">
        <v>272</v>
      </c>
      <c r="C13" s="95"/>
      <c r="D13" s="95"/>
      <c r="E13" s="95"/>
    </row>
    <row r="14" spans="2:5" ht="15.75">
      <c r="B14" s="303" t="s">
        <v>163</v>
      </c>
      <c r="C14" s="95"/>
      <c r="D14" s="296"/>
      <c r="E14" s="296"/>
    </row>
    <row r="15" spans="2:5" ht="15.75">
      <c r="B15" s="303" t="s">
        <v>645</v>
      </c>
      <c r="C15" s="507">
        <f>IF(C16*0.1&lt;C14,"Exceed 10% Rule","")</f>
      </c>
      <c r="D15" s="304">
        <f>IF(D16*0.1&lt;D14,"Exceed 10% Rule","")</f>
      </c>
      <c r="E15" s="304">
        <f>IF(E16*0.1&lt;E14,"Exceed 10% Rule","")</f>
      </c>
    </row>
    <row r="16" spans="2:5" ht="15.75">
      <c r="B16" s="305" t="s">
        <v>273</v>
      </c>
      <c r="C16" s="307">
        <f>SUM(C8:C14)</f>
        <v>0</v>
      </c>
      <c r="D16" s="307">
        <f>SUM(D8:D14)</f>
        <v>0</v>
      </c>
      <c r="E16" s="307">
        <f>SUM(E8:E14)</f>
        <v>0</v>
      </c>
    </row>
    <row r="17" spans="2:5" ht="15.75">
      <c r="B17" s="305" t="s">
        <v>274</v>
      </c>
      <c r="C17" s="307">
        <f>C6+C16</f>
        <v>0</v>
      </c>
      <c r="D17" s="307">
        <f>D6+D16</f>
        <v>0</v>
      </c>
      <c r="E17" s="307">
        <f>E6+E16</f>
        <v>0</v>
      </c>
    </row>
    <row r="18" spans="2:5" ht="15.75">
      <c r="B18" s="137" t="s">
        <v>276</v>
      </c>
      <c r="C18" s="297"/>
      <c r="D18" s="297"/>
      <c r="E18" s="297"/>
    </row>
    <row r="19" spans="2:5" ht="15.75">
      <c r="B19" s="299"/>
      <c r="C19" s="95"/>
      <c r="D19" s="95"/>
      <c r="E19" s="95"/>
    </row>
    <row r="20" spans="2:5" ht="15.75">
      <c r="B20" s="299"/>
      <c r="C20" s="95"/>
      <c r="D20" s="95"/>
      <c r="E20" s="95"/>
    </row>
    <row r="21" spans="2:5" ht="15.75">
      <c r="B21" s="299"/>
      <c r="C21" s="95"/>
      <c r="D21" s="95"/>
      <c r="E21" s="95"/>
    </row>
    <row r="22" spans="2:5" ht="15.75">
      <c r="B22" s="299"/>
      <c r="C22" s="95"/>
      <c r="D22" s="95"/>
      <c r="E22" s="95"/>
    </row>
    <row r="23" spans="2:5" ht="15.75">
      <c r="B23" s="299"/>
      <c r="C23" s="95"/>
      <c r="D23" s="95"/>
      <c r="E23" s="95"/>
    </row>
    <row r="24" spans="2:5" ht="15.75">
      <c r="B24" s="299"/>
      <c r="C24" s="95"/>
      <c r="D24" s="95"/>
      <c r="E24" s="95"/>
    </row>
    <row r="25" spans="2:5" ht="15.75">
      <c r="B25" s="299"/>
      <c r="C25" s="95"/>
      <c r="D25" s="95"/>
      <c r="E25" s="95"/>
    </row>
    <row r="26" spans="2:5" ht="15.75">
      <c r="B26" s="299"/>
      <c r="C26" s="95"/>
      <c r="D26" s="95"/>
      <c r="E26" s="95"/>
    </row>
    <row r="27" spans="2:5" ht="15.75">
      <c r="B27" s="303" t="str">
        <f>CONCATENATE("Cash Forward (",E1," column)")</f>
        <v>Cash Forward (0 column)</v>
      </c>
      <c r="C27" s="95"/>
      <c r="D27" s="95"/>
      <c r="E27" s="95"/>
    </row>
    <row r="28" spans="2:5" ht="15.75">
      <c r="B28" s="303" t="s">
        <v>163</v>
      </c>
      <c r="C28" s="95"/>
      <c r="D28" s="296"/>
      <c r="E28" s="296"/>
    </row>
    <row r="29" spans="2:5" ht="15.75">
      <c r="B29" s="303" t="s">
        <v>644</v>
      </c>
      <c r="C29" s="507">
        <f>IF(C30*0.1&lt;C28,"Exceed 10% Rule","")</f>
      </c>
      <c r="D29" s="304">
        <f>IF(D30*0.1&lt;D28,"Exceed 10% Rule","")</f>
      </c>
      <c r="E29" s="304">
        <f>IF(E30*0.1&lt;E28,"Exceed 10% Rule","")</f>
      </c>
    </row>
    <row r="30" spans="2:5" ht="15.75">
      <c r="B30" s="305" t="s">
        <v>280</v>
      </c>
      <c r="C30" s="307">
        <f>SUM(C19:C28)</f>
        <v>0</v>
      </c>
      <c r="D30" s="307">
        <f>SUM(D19:D28)</f>
        <v>0</v>
      </c>
      <c r="E30" s="307">
        <f>SUM(E19:E28)</f>
        <v>0</v>
      </c>
    </row>
    <row r="31" spans="2:5" ht="15.75">
      <c r="B31" s="137" t="s">
        <v>48</v>
      </c>
      <c r="C31" s="106">
        <f>C17-C30</f>
        <v>0</v>
      </c>
      <c r="D31" s="106">
        <f>D17-D30</f>
        <v>0</v>
      </c>
      <c r="E31" s="106">
        <f>E17-E30</f>
        <v>0</v>
      </c>
    </row>
    <row r="32" spans="2:5" ht="15.75">
      <c r="B32" s="195" t="str">
        <f>CONCATENATE("",E1-2,"/",E1-1,"/",E1," Budget Authority Amount:")</f>
        <v>-2/-1/0 Budget Authority Amount:</v>
      </c>
      <c r="C32" s="326">
        <f>inputOth!B108</f>
        <v>0</v>
      </c>
      <c r="D32" s="326">
        <f>inputPrYr!D53</f>
        <v>0</v>
      </c>
      <c r="E32" s="742">
        <f>E30</f>
        <v>0</v>
      </c>
    </row>
    <row r="33" spans="2:5" ht="15.75">
      <c r="B33" s="161"/>
      <c r="C33" s="309">
        <f>IF(C30&gt;C32,"See Tab A","")</f>
      </c>
      <c r="D33" s="309">
        <f>IF(D30&gt;D32,"See Tab C","")</f>
      </c>
      <c r="E33" s="743">
        <f>IF(E31&lt;0,"See Tab E","")</f>
      </c>
    </row>
    <row r="34" spans="2:5" ht="15.75">
      <c r="B34" s="161"/>
      <c r="C34" s="309">
        <f>IF(C31&lt;0,"See Tab B","")</f>
      </c>
      <c r="D34" s="309">
        <f>IF(D31&lt;0,"See Tab D","")</f>
      </c>
      <c r="E34" s="115"/>
    </row>
    <row r="35" spans="2:5" ht="15.75">
      <c r="B35" s="81"/>
      <c r="C35" s="115"/>
      <c r="D35" s="115"/>
      <c r="E35" s="115"/>
    </row>
    <row r="36" spans="2:5" ht="15.75">
      <c r="B36" s="84"/>
      <c r="C36" s="314"/>
      <c r="D36" s="314"/>
      <c r="E36" s="314"/>
    </row>
    <row r="37" spans="2:5" ht="15.75">
      <c r="B37" s="84" t="s">
        <v>264</v>
      </c>
      <c r="C37" s="243" t="s">
        <v>781</v>
      </c>
      <c r="D37" s="168" t="s">
        <v>784</v>
      </c>
      <c r="E37" s="168" t="s">
        <v>783</v>
      </c>
    </row>
    <row r="38" spans="2:5" ht="15.75">
      <c r="B38" s="520">
        <f>inputPrYr!B54</f>
        <v>0</v>
      </c>
      <c r="C38" s="310" t="str">
        <f>C5</f>
        <v>Actual for -2</v>
      </c>
      <c r="D38" s="310" t="str">
        <f>D5</f>
        <v>Estimate for -1</v>
      </c>
      <c r="E38" s="310" t="str">
        <f>E5</f>
        <v>Year for 0</v>
      </c>
    </row>
    <row r="39" spans="2:5" ht="15.75">
      <c r="B39" s="311" t="s">
        <v>47</v>
      </c>
      <c r="C39" s="95"/>
      <c r="D39" s="297">
        <f>C64</f>
        <v>0</v>
      </c>
      <c r="E39" s="297">
        <f>D64</f>
        <v>0</v>
      </c>
    </row>
    <row r="40" spans="2:5" s="77" customFormat="1" ht="15.75">
      <c r="B40" s="312" t="s">
        <v>49</v>
      </c>
      <c r="C40" s="109"/>
      <c r="D40" s="109"/>
      <c r="E40" s="109"/>
    </row>
    <row r="41" spans="2:5" ht="15.75">
      <c r="B41" s="299"/>
      <c r="C41" s="95"/>
      <c r="D41" s="95"/>
      <c r="E41" s="95"/>
    </row>
    <row r="42" spans="2:5" ht="15.75">
      <c r="B42" s="299"/>
      <c r="C42" s="95"/>
      <c r="D42" s="95"/>
      <c r="E42" s="95"/>
    </row>
    <row r="43" spans="2:5" ht="15.75">
      <c r="B43" s="299"/>
      <c r="C43" s="95"/>
      <c r="D43" s="95"/>
      <c r="E43" s="95"/>
    </row>
    <row r="44" spans="2:5" ht="15.75">
      <c r="B44" s="299"/>
      <c r="C44" s="95"/>
      <c r="D44" s="95"/>
      <c r="E44" s="95"/>
    </row>
    <row r="45" spans="2:5" ht="15.75">
      <c r="B45" s="299"/>
      <c r="C45" s="95"/>
      <c r="D45" s="95"/>
      <c r="E45" s="95"/>
    </row>
    <row r="46" spans="2:5" ht="15.75">
      <c r="B46" s="313" t="s">
        <v>272</v>
      </c>
      <c r="C46" s="95"/>
      <c r="D46" s="95"/>
      <c r="E46" s="95"/>
    </row>
    <row r="47" spans="2:5" ht="15.75">
      <c r="B47" s="303" t="s">
        <v>163</v>
      </c>
      <c r="C47" s="95"/>
      <c r="D47" s="296"/>
      <c r="E47" s="296"/>
    </row>
    <row r="48" spans="2:5" ht="15.75">
      <c r="B48" s="303" t="s">
        <v>645</v>
      </c>
      <c r="C48" s="507">
        <f>IF(C49*0.1&lt;C47,"Exceed 10% Rule","")</f>
      </c>
      <c r="D48" s="304">
        <f>IF(D49*0.1&lt;D47,"Exceed 10% Rule","")</f>
      </c>
      <c r="E48" s="304">
        <f>IF(E49*0.1&lt;E47,"Exceed 10% Rule","")</f>
      </c>
    </row>
    <row r="49" spans="2:5" ht="15.75">
      <c r="B49" s="305" t="s">
        <v>273</v>
      </c>
      <c r="C49" s="307">
        <f>SUM(C41:C47)</f>
        <v>0</v>
      </c>
      <c r="D49" s="307">
        <f>SUM(D41:D47)</f>
        <v>0</v>
      </c>
      <c r="E49" s="307">
        <f>SUM(E41:E47)</f>
        <v>0</v>
      </c>
    </row>
    <row r="50" spans="2:5" ht="15.75">
      <c r="B50" s="305" t="s">
        <v>274</v>
      </c>
      <c r="C50" s="307">
        <f>C39+C49</f>
        <v>0</v>
      </c>
      <c r="D50" s="307">
        <f>D39+D49</f>
        <v>0</v>
      </c>
      <c r="E50" s="307">
        <f>E39+E49</f>
        <v>0</v>
      </c>
    </row>
    <row r="51" spans="2:5" ht="15.75">
      <c r="B51" s="137" t="s">
        <v>276</v>
      </c>
      <c r="C51" s="297"/>
      <c r="D51" s="297"/>
      <c r="E51" s="297"/>
    </row>
    <row r="52" spans="2:5" ht="15.75">
      <c r="B52" s="299"/>
      <c r="C52" s="95"/>
      <c r="D52" s="95"/>
      <c r="E52" s="95"/>
    </row>
    <row r="53" spans="2:5" ht="15.75">
      <c r="B53" s="299"/>
      <c r="C53" s="95"/>
      <c r="D53" s="95"/>
      <c r="E53" s="95"/>
    </row>
    <row r="54" spans="2:5" ht="15.75">
      <c r="B54" s="299"/>
      <c r="C54" s="95"/>
      <c r="D54" s="95"/>
      <c r="E54" s="95"/>
    </row>
    <row r="55" spans="2:5" ht="15.75">
      <c r="B55" s="299"/>
      <c r="C55" s="95"/>
      <c r="D55" s="95"/>
      <c r="E55" s="95"/>
    </row>
    <row r="56" spans="2:5" ht="15.75">
      <c r="B56" s="299"/>
      <c r="C56" s="95"/>
      <c r="D56" s="95"/>
      <c r="E56" s="95"/>
    </row>
    <row r="57" spans="2:5" ht="15.75">
      <c r="B57" s="299"/>
      <c r="C57" s="95"/>
      <c r="D57" s="95"/>
      <c r="E57" s="95"/>
    </row>
    <row r="58" spans="2:5" ht="15.75">
      <c r="B58" s="299"/>
      <c r="C58" s="95"/>
      <c r="D58" s="95"/>
      <c r="E58" s="95"/>
    </row>
    <row r="59" spans="2:5" ht="15.75">
      <c r="B59" s="299"/>
      <c r="C59" s="95"/>
      <c r="D59" s="95"/>
      <c r="E59" s="95"/>
    </row>
    <row r="60" spans="2:5" ht="15.75">
      <c r="B60" s="303" t="str">
        <f>CONCATENATE("Cash Forward (",E1," column)")</f>
        <v>Cash Forward (0 column)</v>
      </c>
      <c r="C60" s="95"/>
      <c r="D60" s="95"/>
      <c r="E60" s="95"/>
    </row>
    <row r="61" spans="2:5" ht="15.75">
      <c r="B61" s="303" t="s">
        <v>163</v>
      </c>
      <c r="C61" s="95"/>
      <c r="D61" s="296"/>
      <c r="E61" s="296"/>
    </row>
    <row r="62" spans="2:5" ht="15.75">
      <c r="B62" s="303" t="s">
        <v>644</v>
      </c>
      <c r="C62" s="507">
        <f>IF(C63*0.1&lt;C61,"Exceed 10% Rule","")</f>
      </c>
      <c r="D62" s="304">
        <f>IF(D63*0.1&lt;D61,"Exceed 10% Rule","")</f>
      </c>
      <c r="E62" s="304">
        <f>IF(E63*0.1&lt;E61,"Exceed 10% Rule","")</f>
      </c>
    </row>
    <row r="63" spans="2:5" ht="15.75">
      <c r="B63" s="305" t="s">
        <v>280</v>
      </c>
      <c r="C63" s="307">
        <f>SUM(C52:C61)</f>
        <v>0</v>
      </c>
      <c r="D63" s="307">
        <f>SUM(D52:D61)</f>
        <v>0</v>
      </c>
      <c r="E63" s="307">
        <f>SUM(E52:E61)</f>
        <v>0</v>
      </c>
    </row>
    <row r="64" spans="2:5" ht="15.75">
      <c r="B64" s="137" t="s">
        <v>48</v>
      </c>
      <c r="C64" s="106">
        <f>C50-C63</f>
        <v>0</v>
      </c>
      <c r="D64" s="106">
        <f>D50-D63</f>
        <v>0</v>
      </c>
      <c r="E64" s="106">
        <f>E50-E63</f>
        <v>0</v>
      </c>
    </row>
    <row r="65" spans="2:5" ht="15.75">
      <c r="B65" s="195" t="str">
        <f>CONCATENATE("",E1-2,"/",E1-1,"/",E1," Budget Authority Amount:")</f>
        <v>-2/-1/0 Budget Authority Amount:</v>
      </c>
      <c r="C65" s="326">
        <f>inputOth!B109</f>
        <v>0</v>
      </c>
      <c r="D65" s="326">
        <f>inputPrYr!D54</f>
        <v>0</v>
      </c>
      <c r="E65" s="742">
        <f>E63</f>
        <v>0</v>
      </c>
    </row>
    <row r="66" spans="2:5" ht="15.75">
      <c r="B66" s="161"/>
      <c r="C66" s="309">
        <f>IF(C63&gt;C65,"See Tab A","")</f>
      </c>
      <c r="D66" s="309">
        <f>IF(D63&gt;D65,"See Tab C","")</f>
      </c>
      <c r="E66" s="743">
        <f>IF(E64&lt;0,"See Tab E","")</f>
      </c>
    </row>
    <row r="67" spans="2:5" ht="15.75">
      <c r="B67" s="161"/>
      <c r="C67" s="309">
        <f>IF(C64&lt;0,"See Tab B","")</f>
      </c>
      <c r="D67" s="309">
        <f>IF(D64&lt;0,"See Tab D","")</f>
      </c>
      <c r="E67" s="81"/>
    </row>
    <row r="68" spans="2:5" ht="15.75">
      <c r="B68" s="81"/>
      <c r="C68" s="81"/>
      <c r="D68" s="81"/>
      <c r="E68" s="81"/>
    </row>
    <row r="69" spans="2:5" ht="15.75">
      <c r="B69" s="161" t="s">
        <v>283</v>
      </c>
      <c r="C69" s="839"/>
      <c r="D69" s="81"/>
      <c r="E69" s="81"/>
    </row>
  </sheetData>
  <sheetProtection sheet="1"/>
  <conditionalFormatting sqref="C47">
    <cfRule type="cellIs" priority="19" dxfId="326" operator="greaterThan" stopIfTrue="1">
      <formula>$C$49*0.1</formula>
    </cfRule>
  </conditionalFormatting>
  <conditionalFormatting sqref="D47">
    <cfRule type="cellIs" priority="18" dxfId="326" operator="greaterThan" stopIfTrue="1">
      <formula>$D$49*0.1</formula>
    </cfRule>
  </conditionalFormatting>
  <conditionalFormatting sqref="E47">
    <cfRule type="cellIs" priority="17" dxfId="326" operator="greaterThan" stopIfTrue="1">
      <formula>$E$49*0.1</formula>
    </cfRule>
  </conditionalFormatting>
  <conditionalFormatting sqref="C61">
    <cfRule type="cellIs" priority="16" dxfId="326" operator="greaterThan" stopIfTrue="1">
      <formula>$C$63*0.1</formula>
    </cfRule>
  </conditionalFormatting>
  <conditionalFormatting sqref="D61">
    <cfRule type="cellIs" priority="15" dxfId="326" operator="greaterThan" stopIfTrue="1">
      <formula>$D$63*0.1</formula>
    </cfRule>
  </conditionalFormatting>
  <conditionalFormatting sqref="E61">
    <cfRule type="cellIs" priority="14" dxfId="326" operator="greaterThan" stopIfTrue="1">
      <formula>$E$63*0.1</formula>
    </cfRule>
  </conditionalFormatting>
  <conditionalFormatting sqref="C28">
    <cfRule type="cellIs" priority="13" dxfId="326" operator="greaterThan" stopIfTrue="1">
      <formula>$C$30*0.1</formula>
    </cfRule>
  </conditionalFormatting>
  <conditionalFormatting sqref="D28">
    <cfRule type="cellIs" priority="12" dxfId="326" operator="greaterThan" stopIfTrue="1">
      <formula>$D$30*0.1</formula>
    </cfRule>
  </conditionalFormatting>
  <conditionalFormatting sqref="E28">
    <cfRule type="cellIs" priority="11" dxfId="326" operator="greaterThan" stopIfTrue="1">
      <formula>$E$30*0.1</formula>
    </cfRule>
  </conditionalFormatting>
  <conditionalFormatting sqref="C14">
    <cfRule type="cellIs" priority="10" dxfId="326" operator="greaterThan" stopIfTrue="1">
      <formula>$C$16*0.1</formula>
    </cfRule>
  </conditionalFormatting>
  <conditionalFormatting sqref="D14">
    <cfRule type="cellIs" priority="9" dxfId="326" operator="greaterThan" stopIfTrue="1">
      <formula>$D$16*0.1</formula>
    </cfRule>
  </conditionalFormatting>
  <conditionalFormatting sqref="E14">
    <cfRule type="cellIs" priority="8" dxfId="326" operator="greaterThan" stopIfTrue="1">
      <formula>$E$16*0.1</formula>
    </cfRule>
  </conditionalFormatting>
  <conditionalFormatting sqref="E31 C31 E64 C64">
    <cfRule type="cellIs" priority="7" dxfId="1" operator="lessThan" stopIfTrue="1">
      <formula>0</formula>
    </cfRule>
  </conditionalFormatting>
  <conditionalFormatting sqref="C30">
    <cfRule type="cellIs" priority="6" dxfId="1" operator="greaterThan" stopIfTrue="1">
      <formula>$C$32</formula>
    </cfRule>
  </conditionalFormatting>
  <conditionalFormatting sqref="D30">
    <cfRule type="cellIs" priority="5" dxfId="1" operator="greaterThan" stopIfTrue="1">
      <formula>$D$32</formula>
    </cfRule>
  </conditionalFormatting>
  <conditionalFormatting sqref="C63">
    <cfRule type="cellIs" priority="4" dxfId="1" operator="greaterThan" stopIfTrue="1">
      <formula>$C$65</formula>
    </cfRule>
  </conditionalFormatting>
  <conditionalFormatting sqref="D63">
    <cfRule type="cellIs" priority="3" dxfId="1" operator="greaterThan" stopIfTrue="1">
      <formula>$D$65</formula>
    </cfRule>
  </conditionalFormatting>
  <conditionalFormatting sqref="D64">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7" sqref="Q117"/>
    </sheetView>
  </sheetViews>
  <sheetFormatPr defaultColWidth="8.796875" defaultRowHeight="15"/>
  <cols>
    <col min="1" max="1" width="2.3984375" style="121" customWidth="1"/>
    <col min="2" max="2" width="31.09765625" style="121" customWidth="1"/>
    <col min="3" max="4" width="15.796875" style="121" customWidth="1"/>
    <col min="5" max="5" width="16.19921875" style="121" customWidth="1"/>
    <col min="6" max="16384" width="8.8984375" style="121" customWidth="1"/>
  </cols>
  <sheetData>
    <row r="1" spans="2:5" ht="15.75">
      <c r="B1" s="205">
        <f>(inputPrYr!D3)</f>
        <v>0</v>
      </c>
      <c r="C1" s="81"/>
      <c r="D1" s="81"/>
      <c r="E1" s="292">
        <f>inputPrYr!$C$10</f>
        <v>0</v>
      </c>
    </row>
    <row r="2" spans="2:5" ht="15.75">
      <c r="B2" s="81"/>
      <c r="C2" s="81"/>
      <c r="D2" s="81"/>
      <c r="E2" s="191"/>
    </row>
    <row r="3" spans="2:5" ht="15.75">
      <c r="B3" s="293" t="s">
        <v>7</v>
      </c>
      <c r="C3" s="294"/>
      <c r="D3" s="294"/>
      <c r="E3" s="295"/>
    </row>
    <row r="4" spans="2:5" ht="15.75">
      <c r="B4" s="84" t="s">
        <v>264</v>
      </c>
      <c r="C4" s="573" t="s">
        <v>781</v>
      </c>
      <c r="D4" s="574" t="s">
        <v>782</v>
      </c>
      <c r="E4" s="168" t="s">
        <v>783</v>
      </c>
    </row>
    <row r="5" spans="2:5" ht="15.75">
      <c r="B5" s="520">
        <f>(inputPrYr!B56)</f>
        <v>0</v>
      </c>
      <c r="C5" s="399" t="str">
        <f>CONCATENATE("Actual for ",E1-2,"")</f>
        <v>Actual for -2</v>
      </c>
      <c r="D5" s="399" t="str">
        <f>CONCATENATE("Estimate for ",E1-1,"")</f>
        <v>Estimate for -1</v>
      </c>
      <c r="E5" s="218" t="str">
        <f>CONCATENATE("Year for ",E1,"")</f>
        <v>Year for 0</v>
      </c>
    </row>
    <row r="6" spans="2:5" ht="15.75">
      <c r="B6" s="137" t="s">
        <v>47</v>
      </c>
      <c r="C6" s="95"/>
      <c r="D6" s="297">
        <f>C48</f>
        <v>0</v>
      </c>
      <c r="E6" s="297">
        <f>D48</f>
        <v>0</v>
      </c>
    </row>
    <row r="7" spans="2:5" ht="15.75">
      <c r="B7" s="298"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299"/>
      <c r="C13" s="95"/>
      <c r="D13" s="95"/>
      <c r="E13" s="95"/>
    </row>
    <row r="14" spans="2:5" ht="15.75">
      <c r="B14" s="301"/>
      <c r="C14" s="104"/>
      <c r="D14" s="104"/>
      <c r="E14" s="104"/>
    </row>
    <row r="15" spans="2:5" ht="15.75">
      <c r="B15" s="299"/>
      <c r="C15" s="95"/>
      <c r="D15" s="95"/>
      <c r="E15" s="95"/>
    </row>
    <row r="16" spans="2:5" ht="15.75">
      <c r="B16" s="302" t="s">
        <v>272</v>
      </c>
      <c r="C16" s="95"/>
      <c r="D16" s="95"/>
      <c r="E16" s="95"/>
    </row>
    <row r="17" spans="2:5" ht="15.75">
      <c r="B17" s="303" t="s">
        <v>163</v>
      </c>
      <c r="C17" s="95"/>
      <c r="D17" s="296"/>
      <c r="E17" s="296"/>
    </row>
    <row r="18" spans="2:5" ht="15.75">
      <c r="B18" s="303" t="s">
        <v>645</v>
      </c>
      <c r="C18" s="507">
        <f>IF(C19*0.1&lt;C17,"Exceed 10% Rule","")</f>
      </c>
      <c r="D18" s="304">
        <f>IF(D19*0.1&lt;D17,"Exceed 10% Rule","")</f>
      </c>
      <c r="E18" s="304">
        <f>IF(E19*0.1&lt;E17,"Exceed 10% Rule","")</f>
      </c>
    </row>
    <row r="19" spans="2:5" ht="15.75">
      <c r="B19" s="305" t="s">
        <v>273</v>
      </c>
      <c r="C19" s="307">
        <f>SUM(C8:C17)</f>
        <v>0</v>
      </c>
      <c r="D19" s="307">
        <f>SUM(D8:D17)</f>
        <v>0</v>
      </c>
      <c r="E19" s="307">
        <f>SUM(E8:E17)</f>
        <v>0</v>
      </c>
    </row>
    <row r="20" spans="2:5" ht="15.75">
      <c r="B20" s="305" t="s">
        <v>274</v>
      </c>
      <c r="C20" s="307">
        <f>C6+C19</f>
        <v>0</v>
      </c>
      <c r="D20" s="307">
        <f>D6+D19</f>
        <v>0</v>
      </c>
      <c r="E20" s="307">
        <f>E6+E19</f>
        <v>0</v>
      </c>
    </row>
    <row r="21" spans="2:5" ht="15.75">
      <c r="B21" s="137" t="s">
        <v>276</v>
      </c>
      <c r="C21" s="109"/>
      <c r="D21" s="109"/>
      <c r="E21" s="109"/>
    </row>
    <row r="22" spans="2:5" ht="15.75">
      <c r="B22" s="299" t="s">
        <v>82</v>
      </c>
      <c r="C22" s="95"/>
      <c r="D22" s="95"/>
      <c r="E22" s="95"/>
    </row>
    <row r="23" spans="2:5" ht="15.75">
      <c r="B23" s="299" t="s">
        <v>173</v>
      </c>
      <c r="C23" s="95"/>
      <c r="D23" s="95"/>
      <c r="E23" s="95"/>
    </row>
    <row r="24" spans="2:5" ht="15.75">
      <c r="B24" s="299"/>
      <c r="C24" s="104"/>
      <c r="D24" s="104"/>
      <c r="E24" s="104"/>
    </row>
    <row r="25" spans="2:5" ht="15.75">
      <c r="B25" s="299"/>
      <c r="C25" s="104"/>
      <c r="D25" s="104"/>
      <c r="E25" s="104"/>
    </row>
    <row r="26" spans="2:5" ht="15.75">
      <c r="B26" s="299"/>
      <c r="C26" s="104"/>
      <c r="D26" s="104"/>
      <c r="E26" s="104"/>
    </row>
    <row r="27" spans="2:5" ht="15.75">
      <c r="B27" s="299"/>
      <c r="C27" s="104"/>
      <c r="D27" s="104"/>
      <c r="E27" s="104"/>
    </row>
    <row r="28" spans="2:5" ht="15.75">
      <c r="B28" s="299"/>
      <c r="C28" s="104"/>
      <c r="D28" s="104"/>
      <c r="E28" s="104"/>
    </row>
    <row r="29" spans="2:5" ht="15.75">
      <c r="B29" s="299"/>
      <c r="C29" s="104"/>
      <c r="D29" s="104"/>
      <c r="E29" s="104"/>
    </row>
    <row r="30" spans="2:5" ht="15.75">
      <c r="B30" s="299"/>
      <c r="C30" s="104"/>
      <c r="D30" s="104"/>
      <c r="E30" s="104"/>
    </row>
    <row r="31" spans="2:5" ht="15.75">
      <c r="B31" s="299"/>
      <c r="C31" s="104"/>
      <c r="D31" s="104"/>
      <c r="E31" s="104"/>
    </row>
    <row r="32" spans="2:5" ht="15.75">
      <c r="B32" s="299"/>
      <c r="C32" s="104"/>
      <c r="D32" s="104"/>
      <c r="E32" s="104"/>
    </row>
    <row r="33" spans="2:5" ht="15.75">
      <c r="B33" s="299"/>
      <c r="C33" s="104"/>
      <c r="D33" s="104"/>
      <c r="E33" s="104"/>
    </row>
    <row r="34" spans="2:5" ht="15.75">
      <c r="B34" s="299"/>
      <c r="C34" s="104"/>
      <c r="D34" s="104"/>
      <c r="E34" s="104"/>
    </row>
    <row r="35" spans="2:5" ht="15.75">
      <c r="B35" s="299"/>
      <c r="C35" s="95"/>
      <c r="D35" s="95"/>
      <c r="E35" s="95"/>
    </row>
    <row r="36" spans="2:5" ht="15.75">
      <c r="B36" s="299"/>
      <c r="C36" s="95"/>
      <c r="D36" s="95"/>
      <c r="E36" s="95"/>
    </row>
    <row r="37" spans="2:5" ht="15.75">
      <c r="B37" s="299"/>
      <c r="C37" s="95"/>
      <c r="D37" s="95"/>
      <c r="E37" s="95"/>
    </row>
    <row r="38" spans="2:5" ht="15.75">
      <c r="B38" s="299"/>
      <c r="C38" s="95"/>
      <c r="D38" s="95"/>
      <c r="E38" s="95"/>
    </row>
    <row r="39" spans="2:5" ht="15.75">
      <c r="B39" s="299"/>
      <c r="C39" s="95"/>
      <c r="D39" s="95"/>
      <c r="E39" s="95"/>
    </row>
    <row r="40" spans="2:5" ht="15.75">
      <c r="B40" s="299"/>
      <c r="C40" s="95"/>
      <c r="D40" s="95"/>
      <c r="E40" s="95"/>
    </row>
    <row r="41" spans="2:5" ht="15.75">
      <c r="B41" s="299"/>
      <c r="C41" s="95"/>
      <c r="D41" s="95"/>
      <c r="E41" s="95"/>
    </row>
    <row r="42" spans="2:5" ht="15.75">
      <c r="B42" s="299"/>
      <c r="C42" s="95"/>
      <c r="D42" s="95"/>
      <c r="E42" s="95"/>
    </row>
    <row r="43" spans="2:5" ht="15.75">
      <c r="B43" s="299"/>
      <c r="C43" s="95"/>
      <c r="D43" s="95"/>
      <c r="E43" s="95"/>
    </row>
    <row r="44" spans="2:5" ht="15.75">
      <c r="B44" s="303" t="str">
        <f>CONCATENATE("Cash Forward (",E1," column)")</f>
        <v>Cash Forward (0 column)</v>
      </c>
      <c r="C44" s="95"/>
      <c r="D44" s="95"/>
      <c r="E44" s="95"/>
    </row>
    <row r="45" spans="2:5" ht="15.75">
      <c r="B45" s="303" t="s">
        <v>163</v>
      </c>
      <c r="C45" s="95"/>
      <c r="D45" s="296"/>
      <c r="E45" s="296"/>
    </row>
    <row r="46" spans="2:5" ht="15.75">
      <c r="B46" s="303" t="s">
        <v>644</v>
      </c>
      <c r="C46" s="507">
        <f>IF(C47*0.1&lt;C45,"Exceed 10% Rule","")</f>
      </c>
      <c r="D46" s="304">
        <f>IF(D47*0.1&lt;D45,"Exceed 10% Rule","")</f>
      </c>
      <c r="E46" s="304">
        <f>IF(E47*0.1&lt;E45,"Exceed 10% Rule","")</f>
      </c>
    </row>
    <row r="47" spans="2:5" ht="15.75">
      <c r="B47" s="305" t="s">
        <v>280</v>
      </c>
      <c r="C47" s="307">
        <f>SUM(C22:C45)</f>
        <v>0</v>
      </c>
      <c r="D47" s="307">
        <f>SUM(D22:D45)</f>
        <v>0</v>
      </c>
      <c r="E47" s="307">
        <f>SUM(E22:E45)</f>
        <v>0</v>
      </c>
    </row>
    <row r="48" spans="2:5" ht="15.75">
      <c r="B48" s="137" t="s">
        <v>48</v>
      </c>
      <c r="C48" s="106">
        <f>C20-C47</f>
        <v>0</v>
      </c>
      <c r="D48" s="106">
        <f>D20-D47</f>
        <v>0</v>
      </c>
      <c r="E48" s="106">
        <f>E20-E47</f>
        <v>0</v>
      </c>
    </row>
    <row r="49" spans="2:5" ht="15.75">
      <c r="B49" s="195" t="str">
        <f>CONCATENATE("",E1-2,"/",E1-1,"/",E1," Budget Authority Amount:")</f>
        <v>-2/-1/0 Budget Authority Amount:</v>
      </c>
      <c r="C49" s="326">
        <f>inputOth!B110</f>
        <v>0</v>
      </c>
      <c r="D49" s="326">
        <f>inputPrYr!D56</f>
        <v>0</v>
      </c>
      <c r="E49" s="742">
        <f>E47</f>
        <v>0</v>
      </c>
    </row>
    <row r="50" spans="2:5" ht="15.75">
      <c r="B50" s="161"/>
      <c r="C50" s="309">
        <f>IF(C47&gt;C49,"See Tab A","")</f>
      </c>
      <c r="D50" s="309">
        <f>IF(D47&gt;D49,"See Tab C","")</f>
      </c>
      <c r="E50" s="743">
        <f>IF(E48&lt;0,"See Tab E","")</f>
      </c>
    </row>
    <row r="51" spans="2:5" ht="15.75">
      <c r="B51" s="161"/>
      <c r="C51" s="309">
        <f>IF(C48&lt;0,"See Tab B","")</f>
      </c>
      <c r="D51" s="309">
        <f>IF(D48&lt;0,"See Tab D","")</f>
      </c>
      <c r="E51" s="96"/>
    </row>
    <row r="52" spans="2:5" ht="15">
      <c r="B52" s="96"/>
      <c r="C52" s="96"/>
      <c r="D52" s="96"/>
      <c r="E52" s="96"/>
    </row>
    <row r="53" spans="2:5" ht="15.75">
      <c r="B53" s="161" t="s">
        <v>283</v>
      </c>
      <c r="C53" s="839"/>
      <c r="D53" s="96"/>
      <c r="E53" s="96"/>
    </row>
  </sheetData>
  <sheetProtection sheet="1"/>
  <conditionalFormatting sqref="C17">
    <cfRule type="cellIs" priority="3" dxfId="326" operator="greaterThan" stopIfTrue="1">
      <formula>$C$19*0.1</formula>
    </cfRule>
  </conditionalFormatting>
  <conditionalFormatting sqref="D17">
    <cfRule type="cellIs" priority="4" dxfId="326" operator="greaterThan" stopIfTrue="1">
      <formula>$D$19*0.1</formula>
    </cfRule>
  </conditionalFormatting>
  <conditionalFormatting sqref="E17">
    <cfRule type="cellIs" priority="5" dxfId="326" operator="greaterThan" stopIfTrue="1">
      <formula>$E$19*0.1</formula>
    </cfRule>
  </conditionalFormatting>
  <conditionalFormatting sqref="C45">
    <cfRule type="cellIs" priority="6" dxfId="326" operator="greaterThan" stopIfTrue="1">
      <formula>$C$47*0.1</formula>
    </cfRule>
  </conditionalFormatting>
  <conditionalFormatting sqref="D45">
    <cfRule type="cellIs" priority="7" dxfId="326" operator="greaterThan" stopIfTrue="1">
      <formula>$D$47*0.1</formula>
    </cfRule>
  </conditionalFormatting>
  <conditionalFormatting sqref="E45">
    <cfRule type="cellIs" priority="8" dxfId="326" operator="greaterThan" stopIfTrue="1">
      <formula>$E$47*0.1</formula>
    </cfRule>
  </conditionalFormatting>
  <conditionalFormatting sqref="E48 C48">
    <cfRule type="cellIs" priority="9" dxfId="1" operator="lessThan" stopIfTrue="1">
      <formula>0</formula>
    </cfRule>
  </conditionalFormatting>
  <conditionalFormatting sqref="C47">
    <cfRule type="cellIs" priority="10" dxfId="1" operator="greaterThan" stopIfTrue="1">
      <formula>$C$49</formula>
    </cfRule>
  </conditionalFormatting>
  <conditionalFormatting sqref="D47">
    <cfRule type="cellIs" priority="11" dxfId="1" operator="greaterThan" stopIfTrue="1">
      <formula>$D$49</formula>
    </cfRule>
  </conditionalFormatting>
  <conditionalFormatting sqref="D48">
    <cfRule type="cellIs" priority="1" dxfId="0" operator="lessThan" stopIfTrue="1">
      <formula>0</formula>
    </cfRule>
    <cfRule type="cellIs" priority="2"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4"/>
  <sheetViews>
    <sheetView zoomScalePageLayoutView="0" workbookViewId="0" topLeftCell="A1">
      <selection activeCell="Z10" sqref="Z10"/>
    </sheetView>
  </sheetViews>
  <sheetFormatPr defaultColWidth="8.796875" defaultRowHeight="15"/>
  <cols>
    <col min="1" max="1" width="22.09765625" style="121" customWidth="1"/>
    <col min="2" max="2" width="12.59765625" style="121" customWidth="1"/>
    <col min="3" max="3" width="10.796875" style="121" customWidth="1"/>
    <col min="4" max="5" width="11.296875" style="121" customWidth="1"/>
    <col min="6" max="6" width="10.796875" style="121" customWidth="1"/>
    <col min="7" max="16384" width="8.8984375" style="121" customWidth="1"/>
  </cols>
  <sheetData>
    <row r="1" spans="1:8" ht="15.75">
      <c r="A1" s="122">
        <f>inputPrYr!$D$3</f>
        <v>0</v>
      </c>
      <c r="B1" s="96"/>
      <c r="C1" s="96"/>
      <c r="D1" s="96"/>
      <c r="E1" s="123">
        <f>inputPrYr!C10</f>
        <v>0</v>
      </c>
      <c r="F1" s="96"/>
      <c r="G1" s="96"/>
      <c r="H1" s="96"/>
    </row>
    <row r="2" spans="1:8" ht="15">
      <c r="A2" s="96"/>
      <c r="B2" s="96"/>
      <c r="C2" s="96"/>
      <c r="D2" s="96"/>
      <c r="E2" s="96"/>
      <c r="F2" s="96"/>
      <c r="G2" s="96"/>
      <c r="H2" s="96"/>
    </row>
    <row r="3" spans="1:8" ht="15.75">
      <c r="A3" s="901" t="s">
        <v>1006</v>
      </c>
      <c r="B3" s="902"/>
      <c r="C3" s="902"/>
      <c r="D3" s="902"/>
      <c r="E3" s="902"/>
      <c r="F3" s="96"/>
      <c r="G3" s="96"/>
      <c r="H3" s="96"/>
    </row>
    <row r="4" spans="1:8" ht="15.75">
      <c r="A4" s="390"/>
      <c r="B4" s="96"/>
      <c r="C4" s="96"/>
      <c r="D4" s="96"/>
      <c r="E4" s="96"/>
      <c r="F4" s="96"/>
      <c r="G4" s="96"/>
      <c r="H4" s="96"/>
    </row>
    <row r="5" spans="1:8" ht="15">
      <c r="A5" s="96"/>
      <c r="B5" s="96"/>
      <c r="C5" s="96"/>
      <c r="D5" s="96"/>
      <c r="E5" s="96"/>
      <c r="F5" s="96"/>
      <c r="G5" s="96"/>
      <c r="H5" s="96"/>
    </row>
    <row r="6" spans="1:8" ht="15.75">
      <c r="A6" s="916" t="str">
        <f>CONCATENATE("From the County Clerk's ",E1," Budget Information:")</f>
        <v>From the County Clerk's 0 Budget Information:</v>
      </c>
      <c r="B6" s="917"/>
      <c r="C6" s="917"/>
      <c r="D6" s="917"/>
      <c r="E6" s="917"/>
      <c r="F6" s="918"/>
      <c r="G6" s="96"/>
      <c r="H6" s="96"/>
    </row>
    <row r="7" spans="1:8" ht="15.75">
      <c r="A7" s="101"/>
      <c r="B7" s="932" t="str">
        <f>CONCATENATE("Assessed Valuation for ",E1-1,"")</f>
        <v>Assessed Valuation for -1</v>
      </c>
      <c r="C7" s="935" t="str">
        <f>CONCATENATE("New Improvements for ",E1-1,"")</f>
        <v>New Improvements for -1</v>
      </c>
      <c r="D7" s="937" t="str">
        <f>CONCATENATE("Personal Property     ",E1-1,"")</f>
        <v>Personal Property     -1</v>
      </c>
      <c r="E7" s="939" t="str">
        <f>CONCATENATE("Property that has changed in use for ",E1-1,"")</f>
        <v>Property that has changed in use for -1</v>
      </c>
      <c r="F7" s="941" t="str">
        <f>CONCATENATE("Personal Property      ",E1-2,"")</f>
        <v>Personal Property      -2</v>
      </c>
      <c r="G7" s="96"/>
      <c r="H7" s="96"/>
    </row>
    <row r="8" spans="1:8" ht="15.75">
      <c r="A8" s="101"/>
      <c r="B8" s="935"/>
      <c r="C8" s="935"/>
      <c r="D8" s="937"/>
      <c r="E8" s="939"/>
      <c r="F8" s="941"/>
      <c r="G8" s="96"/>
      <c r="H8" s="96"/>
    </row>
    <row r="9" spans="1:8" ht="15.75">
      <c r="A9" s="124"/>
      <c r="B9" s="936"/>
      <c r="C9" s="936"/>
      <c r="D9" s="938"/>
      <c r="E9" s="940"/>
      <c r="F9" s="942"/>
      <c r="G9" s="96"/>
      <c r="H9" s="96"/>
    </row>
    <row r="10" spans="1:8" ht="15.75">
      <c r="A10" s="93">
        <f>inputPrYr!D4</f>
        <v>0</v>
      </c>
      <c r="B10" s="104"/>
      <c r="C10" s="104"/>
      <c r="D10" s="104"/>
      <c r="E10" s="95"/>
      <c r="F10" s="104"/>
      <c r="G10" s="96"/>
      <c r="H10" s="96"/>
    </row>
    <row r="11" spans="1:8" ht="15.75">
      <c r="A11" s="125">
        <f>inputPrYr!D6</f>
        <v>0</v>
      </c>
      <c r="B11" s="104"/>
      <c r="C11" s="104"/>
      <c r="D11" s="104"/>
      <c r="E11" s="95"/>
      <c r="F11" s="104"/>
      <c r="G11" s="96"/>
      <c r="H11" s="96"/>
    </row>
    <row r="12" spans="1:8" ht="15.75">
      <c r="A12" s="125">
        <f>inputPrYr!D7</f>
        <v>0</v>
      </c>
      <c r="B12" s="104"/>
      <c r="C12" s="104"/>
      <c r="D12" s="126"/>
      <c r="E12" s="95"/>
      <c r="F12" s="104"/>
      <c r="G12" s="96"/>
      <c r="H12" s="96"/>
    </row>
    <row r="13" spans="1:8" ht="15.75">
      <c r="A13" s="125">
        <f>inputPrYr!D8</f>
        <v>0</v>
      </c>
      <c r="B13" s="104"/>
      <c r="C13" s="104"/>
      <c r="D13" s="104"/>
      <c r="E13" s="104"/>
      <c r="F13" s="104"/>
      <c r="G13" s="96"/>
      <c r="H13" s="96"/>
    </row>
    <row r="14" spans="1:8" ht="15.75">
      <c r="A14" s="93" t="s">
        <v>253</v>
      </c>
      <c r="B14" s="106">
        <f>SUM(B10:B13)</f>
        <v>0</v>
      </c>
      <c r="C14" s="106">
        <f>SUM(C10:C13)</f>
        <v>0</v>
      </c>
      <c r="D14" s="106">
        <f>SUM(D10:D13)</f>
        <v>0</v>
      </c>
      <c r="E14" s="106">
        <f>SUM(E10:E13)</f>
        <v>0</v>
      </c>
      <c r="F14" s="106">
        <f>SUM(F10:F13)</f>
        <v>0</v>
      </c>
      <c r="G14" s="96"/>
      <c r="H14" s="96"/>
    </row>
    <row r="15" spans="1:8" ht="15.75">
      <c r="A15" s="101"/>
      <c r="B15" s="102"/>
      <c r="C15" s="102"/>
      <c r="D15" s="102"/>
      <c r="E15" s="127"/>
      <c r="F15" s="96"/>
      <c r="G15" s="96"/>
      <c r="H15" s="96"/>
    </row>
    <row r="16" spans="1:8" ht="16.5" thickBot="1">
      <c r="A16" s="914" t="str">
        <f>CONCATENATE("Territory Added for ",E1-1,"")</f>
        <v>Territory Added for -1</v>
      </c>
      <c r="B16" s="920"/>
      <c r="C16" s="920"/>
      <c r="D16" s="920"/>
      <c r="E16" s="127"/>
      <c r="F16" s="96"/>
      <c r="G16" s="96"/>
      <c r="H16" s="96"/>
    </row>
    <row r="17" spans="1:8" ht="31.5">
      <c r="A17" s="98"/>
      <c r="B17" s="812" t="s">
        <v>1007</v>
      </c>
      <c r="C17" s="813" t="s">
        <v>43</v>
      </c>
      <c r="D17" s="813" t="s">
        <v>44</v>
      </c>
      <c r="E17" s="127"/>
      <c r="F17" s="96"/>
      <c r="G17" s="96"/>
      <c r="H17" s="96"/>
    </row>
    <row r="18" spans="1:8" ht="15.75">
      <c r="A18" s="93">
        <f>inputPrYr!D4</f>
        <v>0</v>
      </c>
      <c r="B18" s="128"/>
      <c r="C18" s="128"/>
      <c r="D18" s="128"/>
      <c r="E18" s="127"/>
      <c r="F18" s="96"/>
      <c r="G18" s="96"/>
      <c r="H18" s="96"/>
    </row>
    <row r="19" spans="1:8" ht="15.75">
      <c r="A19" s="93">
        <f>inputPrYr!D6</f>
        <v>0</v>
      </c>
      <c r="B19" s="128"/>
      <c r="C19" s="128"/>
      <c r="D19" s="128"/>
      <c r="E19" s="127"/>
      <c r="F19" s="96"/>
      <c r="G19" s="96"/>
      <c r="H19" s="96"/>
    </row>
    <row r="20" spans="1:8" ht="15.75">
      <c r="A20" s="93">
        <f>inputPrYr!D7</f>
        <v>0</v>
      </c>
      <c r="B20" s="128"/>
      <c r="C20" s="128"/>
      <c r="D20" s="128"/>
      <c r="E20" s="127"/>
      <c r="F20" s="96"/>
      <c r="G20" s="96"/>
      <c r="H20" s="96"/>
    </row>
    <row r="21" spans="1:8" ht="15.75">
      <c r="A21" s="93">
        <f>inputPrYr!D8</f>
        <v>0</v>
      </c>
      <c r="B21" s="128"/>
      <c r="C21" s="128"/>
      <c r="D21" s="128"/>
      <c r="E21" s="127"/>
      <c r="F21" s="96"/>
      <c r="G21" s="96"/>
      <c r="H21" s="96"/>
    </row>
    <row r="22" spans="1:8" ht="15.75">
      <c r="A22" s="93" t="s">
        <v>253</v>
      </c>
      <c r="B22" s="129">
        <f>SUM(B18:B21)</f>
        <v>0</v>
      </c>
      <c r="C22" s="129">
        <f>SUM(C18:C21)</f>
        <v>0</v>
      </c>
      <c r="D22" s="129">
        <f>SUM(D18:D21)</f>
        <v>0</v>
      </c>
      <c r="E22" s="127"/>
      <c r="F22" s="96"/>
      <c r="G22" s="96"/>
      <c r="H22" s="96"/>
    </row>
    <row r="23" spans="1:8" ht="15.75">
      <c r="A23" s="101"/>
      <c r="B23" s="130"/>
      <c r="C23" s="130"/>
      <c r="D23" s="130"/>
      <c r="E23" s="127"/>
      <c r="F23" s="96"/>
      <c r="G23" s="96"/>
      <c r="H23" s="96"/>
    </row>
    <row r="24" spans="1:8" ht="15.75">
      <c r="A24" s="98" t="str">
        <f>CONCATENATE("Gross earnings (intangible) tax estimate for ",E1,"")</f>
        <v>Gross earnings (intangible) tax estimate for 0</v>
      </c>
      <c r="B24" s="88"/>
      <c r="C24" s="88"/>
      <c r="D24" s="110"/>
      <c r="E24" s="95"/>
      <c r="F24" s="96"/>
      <c r="G24" s="96"/>
      <c r="H24" s="96"/>
    </row>
    <row r="25" spans="1:8" ht="15.75">
      <c r="A25" s="125" t="s">
        <v>156</v>
      </c>
      <c r="B25" s="112"/>
      <c r="C25" s="112"/>
      <c r="D25" s="112"/>
      <c r="E25" s="104"/>
      <c r="F25" s="96"/>
      <c r="G25" s="96"/>
      <c r="H25" s="96"/>
    </row>
    <row r="26" spans="1:8" ht="15.75">
      <c r="A26" s="101"/>
      <c r="B26" s="102"/>
      <c r="C26" s="102"/>
      <c r="D26" s="102"/>
      <c r="E26" s="108"/>
      <c r="F26" s="96"/>
      <c r="G26" s="96"/>
      <c r="H26" s="96"/>
    </row>
    <row r="27" spans="1:8" ht="16.5" thickBot="1">
      <c r="A27" s="914" t="str">
        <f>CONCATENATE("Actual Tax Rates for the ",E1-1," Budget:")</f>
        <v>Actual Tax Rates for the -1 Budget:</v>
      </c>
      <c r="B27" s="915"/>
      <c r="C27" s="915"/>
      <c r="D27" s="915"/>
      <c r="E27" s="108"/>
      <c r="F27" s="96"/>
      <c r="G27" s="96"/>
      <c r="H27" s="96"/>
    </row>
    <row r="28" spans="1:8" ht="15.75">
      <c r="A28" s="919" t="s">
        <v>251</v>
      </c>
      <c r="B28" s="904"/>
      <c r="C28" s="96"/>
      <c r="D28" s="131" t="s">
        <v>306</v>
      </c>
      <c r="E28" s="108"/>
      <c r="F28" s="96"/>
      <c r="G28" s="96"/>
      <c r="H28" s="96"/>
    </row>
    <row r="29" spans="1:8" ht="15.75">
      <c r="A29" s="98" t="s">
        <v>239</v>
      </c>
      <c r="B29" s="88"/>
      <c r="C29" s="102"/>
      <c r="D29" s="799"/>
      <c r="E29" s="108"/>
      <c r="F29" s="96"/>
      <c r="G29" s="96"/>
      <c r="H29" s="96"/>
    </row>
    <row r="30" spans="1:8" ht="15.75">
      <c r="A30" s="125" t="s">
        <v>199</v>
      </c>
      <c r="B30" s="112"/>
      <c r="C30" s="102"/>
      <c r="D30" s="799"/>
      <c r="E30" s="108"/>
      <c r="F30" s="96"/>
      <c r="G30" s="96"/>
      <c r="H30" s="96"/>
    </row>
    <row r="31" spans="1:8" ht="15.75">
      <c r="A31" s="125" t="str">
        <f>IF(inputPrYr!B24&gt;" ",(inputPrYr!B24)," ")</f>
        <v>Library</v>
      </c>
      <c r="B31" s="112"/>
      <c r="C31" s="102"/>
      <c r="D31" s="799"/>
      <c r="E31" s="108"/>
      <c r="F31" s="96"/>
      <c r="G31" s="96"/>
      <c r="H31" s="96"/>
    </row>
    <row r="32" spans="1:8" ht="15.75">
      <c r="A32" s="125" t="str">
        <f>IF(inputPrYr!B26&gt;" ",(inputPrYr!B26)," ")</f>
        <v> </v>
      </c>
      <c r="B32" s="112"/>
      <c r="C32" s="102"/>
      <c r="D32" s="799"/>
      <c r="E32" s="108"/>
      <c r="F32" s="96"/>
      <c r="G32" s="96"/>
      <c r="H32" s="96"/>
    </row>
    <row r="33" spans="1:8" ht="15.75">
      <c r="A33" s="125" t="str">
        <f>IF(inputPrYr!B27&gt;" ",(inputPrYr!B27)," ")</f>
        <v> </v>
      </c>
      <c r="B33" s="112"/>
      <c r="C33" s="102"/>
      <c r="D33" s="799"/>
      <c r="E33" s="108"/>
      <c r="F33" s="96"/>
      <c r="G33" s="96"/>
      <c r="H33" s="96"/>
    </row>
    <row r="34" spans="1:8" ht="15.75">
      <c r="A34" s="125" t="str">
        <f>IF(inputPrYr!B28&gt;" ",(inputPrYr!B28)," ")</f>
        <v> </v>
      </c>
      <c r="B34" s="132"/>
      <c r="C34" s="102"/>
      <c r="D34" s="800"/>
      <c r="E34" s="108"/>
      <c r="F34" s="96"/>
      <c r="G34" s="96"/>
      <c r="H34" s="96"/>
    </row>
    <row r="35" spans="1:8" ht="15.75">
      <c r="A35" s="125" t="str">
        <f>IF(inputPrYr!B29&gt;" ",(inputPrYr!B29)," ")</f>
        <v> </v>
      </c>
      <c r="B35" s="132"/>
      <c r="C35" s="102"/>
      <c r="D35" s="800"/>
      <c r="E35" s="108"/>
      <c r="F35" s="96"/>
      <c r="G35" s="96"/>
      <c r="H35" s="96"/>
    </row>
    <row r="36" spans="1:8" ht="15.75">
      <c r="A36" s="125" t="str">
        <f>IF(inputPrYr!B30&gt;" ",(inputPrYr!B30)," ")</f>
        <v> </v>
      </c>
      <c r="B36" s="132"/>
      <c r="C36" s="102"/>
      <c r="D36" s="800"/>
      <c r="E36" s="108"/>
      <c r="F36" s="96"/>
      <c r="G36" s="96"/>
      <c r="H36" s="96"/>
    </row>
    <row r="37" spans="1:8" ht="15.75">
      <c r="A37" s="125" t="str">
        <f>IF(inputPrYr!B31&gt;" ",(inputPrYr!B31)," ")</f>
        <v> </v>
      </c>
      <c r="B37" s="132"/>
      <c r="C37" s="102"/>
      <c r="D37" s="800"/>
      <c r="E37" s="108"/>
      <c r="F37" s="96"/>
      <c r="G37" s="96"/>
      <c r="H37" s="96"/>
    </row>
    <row r="38" spans="1:8" ht="15.75">
      <c r="A38" s="125" t="str">
        <f>IF(inputPrYr!B32&gt;" ",(inputPrYr!B32)," ")</f>
        <v> </v>
      </c>
      <c r="B38" s="132"/>
      <c r="C38" s="102"/>
      <c r="D38" s="800"/>
      <c r="E38" s="108"/>
      <c r="F38" s="96"/>
      <c r="G38" s="96"/>
      <c r="H38" s="96"/>
    </row>
    <row r="39" spans="1:8" ht="15.75">
      <c r="A39" s="125" t="str">
        <f>IF(inputPrYr!B33&gt;" ",(inputPrYr!B33)," ")</f>
        <v> </v>
      </c>
      <c r="B39" s="132"/>
      <c r="C39" s="102"/>
      <c r="D39" s="800"/>
      <c r="E39" s="108"/>
      <c r="F39" s="96"/>
      <c r="G39" s="96"/>
      <c r="H39" s="96"/>
    </row>
    <row r="40" spans="1:8" ht="15.75">
      <c r="A40" s="125" t="str">
        <f>IF(inputPrYr!B34&gt;" ",(inputPrYr!B34)," ")</f>
        <v> </v>
      </c>
      <c r="B40" s="132"/>
      <c r="C40" s="102"/>
      <c r="D40" s="800"/>
      <c r="E40" s="108"/>
      <c r="F40" s="96"/>
      <c r="G40" s="96"/>
      <c r="H40" s="96"/>
    </row>
    <row r="41" spans="1:8" ht="15.75">
      <c r="A41" s="125" t="str">
        <f>IF(inputPrYr!B35&gt;" ",(inputPrYr!B35)," ")</f>
        <v> </v>
      </c>
      <c r="B41" s="132"/>
      <c r="C41" s="102"/>
      <c r="D41" s="799"/>
      <c r="E41" s="108"/>
      <c r="F41" s="96"/>
      <c r="G41" s="96"/>
      <c r="H41" s="96"/>
    </row>
    <row r="42" spans="1:8" ht="15.75">
      <c r="A42" s="133"/>
      <c r="B42" s="303" t="s">
        <v>241</v>
      </c>
      <c r="C42" s="608"/>
      <c r="D42" s="607">
        <f>SUM(D29:D41)</f>
        <v>0</v>
      </c>
      <c r="E42" s="133"/>
      <c r="F42" s="96"/>
      <c r="G42" s="96"/>
      <c r="H42" s="96"/>
    </row>
    <row r="43" spans="1:8" ht="15">
      <c r="A43" s="133"/>
      <c r="B43" s="133"/>
      <c r="C43" s="133"/>
      <c r="D43" s="133"/>
      <c r="E43" s="133"/>
      <c r="F43" s="96"/>
      <c r="G43" s="96"/>
      <c r="H43" s="96"/>
    </row>
    <row r="44" spans="1:8" ht="16.5" thickBot="1">
      <c r="A44" s="944" t="str">
        <f>CONCATENATE("Final Assessed Valuation from the November 1, ",E1-2," Abstract:")</f>
        <v>Final Assessed Valuation from the November 1, -2 Abstract:</v>
      </c>
      <c r="B44" s="945"/>
      <c r="C44" s="945"/>
      <c r="D44" s="945"/>
      <c r="E44" s="134"/>
      <c r="F44" s="96"/>
      <c r="G44" s="96"/>
      <c r="H44" s="96"/>
    </row>
    <row r="45" spans="1:8" ht="15.75">
      <c r="A45" s="131"/>
      <c r="B45" s="96"/>
      <c r="C45" s="96"/>
      <c r="D45" s="96"/>
      <c r="E45" s="134"/>
      <c r="F45" s="96"/>
      <c r="G45" s="96"/>
      <c r="H45" s="96"/>
    </row>
    <row r="46" spans="1:8" ht="15.75">
      <c r="A46" s="93">
        <f>inputPrYr!D4</f>
        <v>0</v>
      </c>
      <c r="B46" s="133"/>
      <c r="C46" s="133"/>
      <c r="D46" s="104"/>
      <c r="E46" s="133"/>
      <c r="F46" s="96"/>
      <c r="G46" s="96"/>
      <c r="H46" s="96"/>
    </row>
    <row r="47" spans="1:8" ht="15.75">
      <c r="A47" s="93">
        <f>inputPrYr!D6</f>
        <v>0</v>
      </c>
      <c r="B47" s="133"/>
      <c r="C47" s="133"/>
      <c r="D47" s="104"/>
      <c r="E47" s="133"/>
      <c r="F47" s="96"/>
      <c r="G47" s="96"/>
      <c r="H47" s="96"/>
    </row>
    <row r="48" spans="1:8" ht="15.75">
      <c r="A48" s="93">
        <f>inputPrYr!D7</f>
        <v>0</v>
      </c>
      <c r="B48" s="133"/>
      <c r="C48" s="133"/>
      <c r="D48" s="104"/>
      <c r="E48" s="133"/>
      <c r="F48" s="96"/>
      <c r="G48" s="96"/>
      <c r="H48" s="96"/>
    </row>
    <row r="49" spans="1:8" ht="15.75">
      <c r="A49" s="93">
        <f>inputPrYr!D8</f>
        <v>0</v>
      </c>
      <c r="B49" s="133"/>
      <c r="C49" s="133"/>
      <c r="D49" s="104"/>
      <c r="E49" s="133"/>
      <c r="F49" s="96"/>
      <c r="G49" s="96"/>
      <c r="H49" s="96"/>
    </row>
    <row r="50" spans="1:8" ht="15.75">
      <c r="A50" s="94" t="s">
        <v>148</v>
      </c>
      <c r="B50" s="133"/>
      <c r="C50" s="133"/>
      <c r="D50" s="106">
        <f>SUM(D46:D49)</f>
        <v>0</v>
      </c>
      <c r="E50" s="133"/>
      <c r="F50" s="96"/>
      <c r="G50" s="96"/>
      <c r="H50" s="96"/>
    </row>
    <row r="51" spans="1:8" ht="15">
      <c r="A51" s="133"/>
      <c r="B51" s="133"/>
      <c r="C51" s="133"/>
      <c r="D51" s="133"/>
      <c r="E51" s="133"/>
      <c r="F51" s="96"/>
      <c r="G51" s="96"/>
      <c r="H51" s="96"/>
    </row>
    <row r="52" spans="1:8" ht="15.75">
      <c r="A52" s="814" t="str">
        <f>CONCATENATE("From the County Treasurer's Budget Information - ",E1," Budget Year Estimates:")</f>
        <v>From the County Treasurer's Budget Information - 0 Budget Year Estimates:</v>
      </c>
      <c r="B52" s="827"/>
      <c r="C52" s="827"/>
      <c r="D52" s="815"/>
      <c r="E52" s="845"/>
      <c r="F52" s="845"/>
      <c r="G52" s="826"/>
      <c r="H52" s="96"/>
    </row>
    <row r="53" spans="1:8" ht="15.75" customHeight="1">
      <c r="A53" s="844"/>
      <c r="B53" s="449"/>
      <c r="C53" s="932" t="s">
        <v>153</v>
      </c>
      <c r="D53" s="928" t="s">
        <v>151</v>
      </c>
      <c r="E53" s="932" t="s">
        <v>152</v>
      </c>
      <c r="F53" s="943" t="s">
        <v>1012</v>
      </c>
      <c r="G53" s="933" t="s">
        <v>1013</v>
      </c>
      <c r="H53" s="96"/>
    </row>
    <row r="54" spans="1:8" ht="15.75">
      <c r="A54" s="921" t="str">
        <f>CONCATENATE("",E1," Vehicle Tax Estimates")</f>
        <v>0 Vehicle Tax Estimates</v>
      </c>
      <c r="B54" s="922"/>
      <c r="C54" s="927"/>
      <c r="D54" s="927"/>
      <c r="E54" s="927"/>
      <c r="F54" s="934"/>
      <c r="G54" s="934"/>
      <c r="H54" s="96"/>
    </row>
    <row r="55" spans="1:8" ht="15.75">
      <c r="A55" s="136">
        <f>inputPrYr!D4</f>
        <v>0</v>
      </c>
      <c r="B55" s="113"/>
      <c r="C55" s="852"/>
      <c r="D55" s="852"/>
      <c r="E55" s="852"/>
      <c r="F55" s="852"/>
      <c r="G55" s="852"/>
      <c r="H55" s="96"/>
    </row>
    <row r="56" spans="1:8" ht="15.75">
      <c r="A56" s="137">
        <f>inputPrYr!D6</f>
        <v>0</v>
      </c>
      <c r="B56" s="113"/>
      <c r="C56" s="857"/>
      <c r="D56" s="857"/>
      <c r="E56" s="857"/>
      <c r="F56" s="857"/>
      <c r="G56" s="857"/>
      <c r="H56" s="96"/>
    </row>
    <row r="57" spans="1:8" ht="15.75">
      <c r="A57" s="137">
        <f>inputPrYr!D7</f>
        <v>0</v>
      </c>
      <c r="B57" s="113"/>
      <c r="C57" s="857"/>
      <c r="D57" s="857"/>
      <c r="E57" s="857"/>
      <c r="F57" s="857"/>
      <c r="G57" s="857"/>
      <c r="H57" s="96"/>
    </row>
    <row r="58" spans="1:8" ht="15.75">
      <c r="A58" s="137">
        <f>inputPrYr!D8</f>
        <v>0</v>
      </c>
      <c r="B58" s="113"/>
      <c r="C58" s="857"/>
      <c r="D58" s="857"/>
      <c r="E58" s="857"/>
      <c r="F58" s="857"/>
      <c r="G58" s="857"/>
      <c r="H58" s="96"/>
    </row>
    <row r="59" spans="1:8" ht="15.75">
      <c r="A59" s="137" t="s">
        <v>154</v>
      </c>
      <c r="B59" s="113"/>
      <c r="C59" s="138">
        <f>SUM(C55:C58)</f>
        <v>0</v>
      </c>
      <c r="D59" s="106">
        <f>SUM(D55:D58)</f>
        <v>0</v>
      </c>
      <c r="E59" s="106">
        <f>SUM(E55:E58)</f>
        <v>0</v>
      </c>
      <c r="F59" s="106">
        <f>SUM(F55:F58)</f>
        <v>0</v>
      </c>
      <c r="G59" s="106">
        <f>SUM(G55:G58)</f>
        <v>0</v>
      </c>
      <c r="H59" s="96"/>
    </row>
    <row r="60" spans="1:8" ht="15.75">
      <c r="A60" s="98"/>
      <c r="B60" s="88"/>
      <c r="C60" s="88"/>
      <c r="D60" s="139"/>
      <c r="E60" s="108"/>
      <c r="F60" s="96"/>
      <c r="G60" s="96"/>
      <c r="H60" s="96"/>
    </row>
    <row r="61" spans="1:8" ht="15.75">
      <c r="A61" s="98" t="s">
        <v>74</v>
      </c>
      <c r="B61" s="88"/>
      <c r="C61" s="88"/>
      <c r="D61" s="140"/>
      <c r="E61" s="95"/>
      <c r="F61" s="96"/>
      <c r="G61" s="96"/>
      <c r="H61" s="96"/>
    </row>
    <row r="62" spans="1:8" ht="15.75">
      <c r="A62" s="125" t="s">
        <v>75</v>
      </c>
      <c r="B62" s="112"/>
      <c r="C62" s="112"/>
      <c r="D62" s="141"/>
      <c r="E62" s="95"/>
      <c r="F62" s="96"/>
      <c r="G62" s="96"/>
      <c r="H62" s="96"/>
    </row>
    <row r="63" spans="1:8" ht="15.75">
      <c r="A63" s="81"/>
      <c r="B63" s="81"/>
      <c r="C63" s="81"/>
      <c r="D63" s="81"/>
      <c r="E63" s="81"/>
      <c r="F63" s="96"/>
      <c r="G63" s="96"/>
      <c r="H63" s="96"/>
    </row>
    <row r="64" spans="1:8" ht="15.75">
      <c r="A64" s="80" t="s">
        <v>259</v>
      </c>
      <c r="B64" s="87"/>
      <c r="C64" s="87"/>
      <c r="D64" s="81"/>
      <c r="E64" s="81"/>
      <c r="F64" s="96"/>
      <c r="G64" s="96"/>
      <c r="H64" s="96"/>
    </row>
    <row r="65" spans="1:8" ht="15.75">
      <c r="A65" s="101" t="str">
        <f>CONCATENATE("Actual Delinquency for ",E20-3," Tax - (e.g. rate .01213 = 1.213%;  key in 1.2)")</f>
        <v>Actual Delinquency for -3 Tax - (e.g. rate .01213 = 1.213%;  key in 1.2)</v>
      </c>
      <c r="B65" s="102"/>
      <c r="C65" s="81"/>
      <c r="D65" s="81"/>
      <c r="E65" s="81"/>
      <c r="F65" s="96"/>
      <c r="G65" s="96"/>
      <c r="H65" s="96"/>
    </row>
    <row r="66" spans="1:8" ht="15.75">
      <c r="A66" s="609" t="s">
        <v>842</v>
      </c>
      <c r="B66" s="98"/>
      <c r="C66" s="88"/>
      <c r="D66" s="88"/>
      <c r="E66" s="610"/>
      <c r="F66" s="96"/>
      <c r="G66" s="96"/>
      <c r="H66" s="96"/>
    </row>
    <row r="67" spans="1:8" ht="15.75">
      <c r="A67" s="144" t="s">
        <v>155</v>
      </c>
      <c r="B67" s="145"/>
      <c r="C67" s="145"/>
      <c r="D67" s="145"/>
      <c r="E67" s="145"/>
      <c r="F67" s="146"/>
      <c r="G67" s="96"/>
      <c r="H67" s="96"/>
    </row>
    <row r="68" spans="1:8" ht="15.75">
      <c r="A68" s="81"/>
      <c r="B68" s="81"/>
      <c r="C68" s="81"/>
      <c r="D68" s="81"/>
      <c r="E68" s="81"/>
      <c r="F68" s="96"/>
      <c r="G68" s="96"/>
      <c r="H68" s="96"/>
    </row>
    <row r="69" spans="1:8" ht="15.75">
      <c r="A69" s="830" t="s">
        <v>143</v>
      </c>
      <c r="B69" s="837"/>
      <c r="C69" s="838"/>
      <c r="D69" s="838"/>
      <c r="E69" s="856"/>
      <c r="F69" s="96"/>
      <c r="G69" s="96"/>
      <c r="H69" s="96"/>
    </row>
    <row r="70" spans="1:8" ht="15.75">
      <c r="A70" s="147" t="str">
        <f>CONCATENATE("",E1," State Distribution for Kansas Gas Tax")</f>
        <v>0 State Distribution for Kansas Gas Tax</v>
      </c>
      <c r="B70" s="148"/>
      <c r="C70" s="148"/>
      <c r="D70" s="149"/>
      <c r="E70" s="150"/>
      <c r="F70" s="96"/>
      <c r="G70" s="96"/>
      <c r="H70" s="96"/>
    </row>
    <row r="71" spans="1:8" ht="15.75">
      <c r="A71" s="151" t="str">
        <f>CONCATENATE("",E1," County Transfers for Gas**")</f>
        <v>0 County Transfers for Gas**</v>
      </c>
      <c r="B71" s="152"/>
      <c r="C71" s="152"/>
      <c r="D71" s="153"/>
      <c r="E71" s="104"/>
      <c r="F71" s="96"/>
      <c r="G71" s="96"/>
      <c r="H71" s="96"/>
    </row>
    <row r="72" spans="1:8" ht="15.75">
      <c r="A72" s="151" t="str">
        <f>CONCATENATE("Adjusted ",E1-1," State Distribution for Kansas Gas Tax")</f>
        <v>Adjusted -1 State Distribution for Kansas Gas Tax</v>
      </c>
      <c r="B72" s="152"/>
      <c r="C72" s="152"/>
      <c r="D72" s="153"/>
      <c r="E72" s="104"/>
      <c r="F72" s="96"/>
      <c r="G72" s="96"/>
      <c r="H72" s="96"/>
    </row>
    <row r="73" spans="1:8" ht="15.75">
      <c r="A73" s="151" t="str">
        <f>CONCATENATE("Adjusted ",E1-1," County Transfers for Gas**")</f>
        <v>Adjusted -1 County Transfers for Gas**</v>
      </c>
      <c r="B73" s="152"/>
      <c r="C73" s="152"/>
      <c r="D73" s="153"/>
      <c r="E73" s="104"/>
      <c r="F73" s="96"/>
      <c r="G73" s="96"/>
      <c r="H73" s="96"/>
    </row>
    <row r="74" spans="1:8" ht="15">
      <c r="A74" s="929" t="s">
        <v>125</v>
      </c>
      <c r="B74" s="930"/>
      <c r="C74" s="930"/>
      <c r="D74" s="930"/>
      <c r="E74" s="930"/>
      <c r="F74" s="931"/>
      <c r="G74" s="96"/>
      <c r="H74" s="96"/>
    </row>
    <row r="75" spans="1:8" ht="15">
      <c r="A75" s="146" t="s">
        <v>126</v>
      </c>
      <c r="B75" s="146"/>
      <c r="C75" s="146"/>
      <c r="D75" s="146"/>
      <c r="E75" s="146"/>
      <c r="F75" s="146"/>
      <c r="G75" s="96"/>
      <c r="H75" s="96"/>
    </row>
    <row r="76" spans="1:8" ht="15">
      <c r="A76" s="96"/>
      <c r="B76" s="96"/>
      <c r="C76" s="96"/>
      <c r="D76" s="96"/>
      <c r="E76" s="96"/>
      <c r="F76" s="96"/>
      <c r="G76" s="96"/>
      <c r="H76" s="96"/>
    </row>
    <row r="77" spans="1:8" ht="15.75">
      <c r="A77" s="912" t="str">
        <f>CONCATENATE("From the ",E1-2," Budget Certificate Page")</f>
        <v>From the -2 Budget Certificate Page</v>
      </c>
      <c r="B77" s="913"/>
      <c r="C77" s="96"/>
      <c r="D77" s="96"/>
      <c r="E77" s="96"/>
      <c r="F77" s="96"/>
      <c r="G77" s="96"/>
      <c r="H77" s="96"/>
    </row>
    <row r="78" spans="1:8" ht="15.75">
      <c r="A78" s="154"/>
      <c r="B78" s="925" t="str">
        <f>CONCATENATE("",E1-2,"        Expenditure Amt Budget Authority")</f>
        <v>-2        Expenditure Amt Budget Authority</v>
      </c>
      <c r="C78" s="923" t="str">
        <f>CONCATENATE("Note: If the ",E1-2," budget was amended, then")</f>
        <v>Note: If the -2 budget was amended, then</v>
      </c>
      <c r="D78" s="924"/>
      <c r="E78" s="924"/>
      <c r="F78" s="96"/>
      <c r="G78" s="96"/>
      <c r="H78" s="96"/>
    </row>
    <row r="79" spans="1:8" ht="15.75">
      <c r="A79" s="155" t="s">
        <v>158</v>
      </c>
      <c r="B79" s="926"/>
      <c r="C79" s="156" t="s">
        <v>159</v>
      </c>
      <c r="D79" s="157"/>
      <c r="E79" s="157"/>
      <c r="F79" s="96"/>
      <c r="G79" s="96"/>
      <c r="H79" s="96"/>
    </row>
    <row r="80" spans="1:8" ht="15.75">
      <c r="A80" s="158"/>
      <c r="B80" s="927"/>
      <c r="C80" s="156" t="s">
        <v>160</v>
      </c>
      <c r="D80" s="157"/>
      <c r="E80" s="157"/>
      <c r="F80" s="96"/>
      <c r="G80" s="96"/>
      <c r="H80" s="96"/>
    </row>
    <row r="81" spans="1:8" ht="15.75">
      <c r="A81" s="159" t="str">
        <f>inputPrYr!B22</f>
        <v>General</v>
      </c>
      <c r="B81" s="150"/>
      <c r="C81" s="156"/>
      <c r="D81" s="157"/>
      <c r="E81" s="157"/>
      <c r="F81" s="96"/>
      <c r="G81" s="96"/>
      <c r="H81" s="96"/>
    </row>
    <row r="82" spans="1:8" ht="15.75">
      <c r="A82" s="159" t="str">
        <f>inputPrYr!B23</f>
        <v>Debt Service</v>
      </c>
      <c r="B82" s="104"/>
      <c r="C82" s="156"/>
      <c r="D82" s="157"/>
      <c r="E82" s="157"/>
      <c r="F82" s="96"/>
      <c r="G82" s="96"/>
      <c r="H82" s="96"/>
    </row>
    <row r="83" spans="1:8" ht="15.75">
      <c r="A83" s="160" t="str">
        <f>inputPrYr!B24</f>
        <v>Library</v>
      </c>
      <c r="B83" s="104"/>
      <c r="C83" s="96"/>
      <c r="D83" s="96"/>
      <c r="E83" s="96"/>
      <c r="F83" s="96"/>
      <c r="G83" s="96"/>
      <c r="H83" s="96"/>
    </row>
    <row r="84" spans="1:8" ht="15.75">
      <c r="A84" s="160">
        <f>inputPrYr!B26</f>
        <v>0</v>
      </c>
      <c r="B84" s="104"/>
      <c r="C84" s="96"/>
      <c r="D84" s="96"/>
      <c r="E84" s="96"/>
      <c r="F84" s="96"/>
      <c r="G84" s="96"/>
      <c r="H84" s="96"/>
    </row>
    <row r="85" spans="1:8" ht="15.75">
      <c r="A85" s="160">
        <f>inputPrYr!B27</f>
        <v>0</v>
      </c>
      <c r="B85" s="104"/>
      <c r="C85" s="96"/>
      <c r="D85" s="96"/>
      <c r="E85" s="96"/>
      <c r="F85" s="96"/>
      <c r="G85" s="96"/>
      <c r="H85" s="96"/>
    </row>
    <row r="86" spans="1:8" ht="15.75">
      <c r="A86" s="160">
        <f>inputPrYr!B28</f>
        <v>0</v>
      </c>
      <c r="B86" s="104"/>
      <c r="C86" s="96"/>
      <c r="D86" s="96"/>
      <c r="E86" s="96"/>
      <c r="F86" s="96"/>
      <c r="G86" s="96"/>
      <c r="H86" s="96"/>
    </row>
    <row r="87" spans="1:8" ht="15.75">
      <c r="A87" s="160">
        <f>inputPrYr!B29</f>
        <v>0</v>
      </c>
      <c r="B87" s="104"/>
      <c r="C87" s="96"/>
      <c r="D87" s="96"/>
      <c r="E87" s="96"/>
      <c r="F87" s="96"/>
      <c r="G87" s="96"/>
      <c r="H87" s="96"/>
    </row>
    <row r="88" spans="1:8" ht="15.75">
      <c r="A88" s="160">
        <f>inputPrYr!B30</f>
        <v>0</v>
      </c>
      <c r="B88" s="104"/>
      <c r="C88" s="96"/>
      <c r="D88" s="96"/>
      <c r="E88" s="96"/>
      <c r="F88" s="96"/>
      <c r="G88" s="96"/>
      <c r="H88" s="96"/>
    </row>
    <row r="89" spans="1:8" ht="15.75">
      <c r="A89" s="160">
        <f>inputPrYr!B31</f>
        <v>0</v>
      </c>
      <c r="B89" s="104"/>
      <c r="C89" s="96"/>
      <c r="D89" s="96"/>
      <c r="E89" s="96"/>
      <c r="F89" s="96"/>
      <c r="G89" s="96"/>
      <c r="H89" s="96"/>
    </row>
    <row r="90" spans="1:8" ht="15.75">
      <c r="A90" s="160">
        <f>inputPrYr!B32</f>
        <v>0</v>
      </c>
      <c r="B90" s="104"/>
      <c r="C90" s="96"/>
      <c r="D90" s="96"/>
      <c r="E90" s="96"/>
      <c r="F90" s="96"/>
      <c r="G90" s="96"/>
      <c r="H90" s="96"/>
    </row>
    <row r="91" spans="1:8" ht="15.75">
      <c r="A91" s="160">
        <f>inputPrYr!B33</f>
        <v>0</v>
      </c>
      <c r="B91" s="104"/>
      <c r="C91" s="96"/>
      <c r="D91" s="96"/>
      <c r="E91" s="96"/>
      <c r="F91" s="96"/>
      <c r="G91" s="96"/>
      <c r="H91" s="96"/>
    </row>
    <row r="92" spans="1:8" ht="15.75">
      <c r="A92" s="160">
        <f>inputPrYr!B34</f>
        <v>0</v>
      </c>
      <c r="B92" s="104"/>
      <c r="C92" s="96"/>
      <c r="D92" s="96"/>
      <c r="E92" s="96"/>
      <c r="F92" s="96"/>
      <c r="G92" s="96"/>
      <c r="H92" s="96"/>
    </row>
    <row r="93" spans="1:8" ht="15.75">
      <c r="A93" s="160">
        <f>inputPrYr!B35</f>
        <v>0</v>
      </c>
      <c r="B93" s="104"/>
      <c r="C93" s="96"/>
      <c r="D93" s="96"/>
      <c r="E93" s="96"/>
      <c r="F93" s="96"/>
      <c r="G93" s="96"/>
      <c r="H93" s="96"/>
    </row>
    <row r="94" spans="1:8" ht="15.75">
      <c r="A94" s="160" t="str">
        <f>inputPrYr!B39</f>
        <v>Special Highway</v>
      </c>
      <c r="B94" s="104"/>
      <c r="C94" s="96"/>
      <c r="D94" s="96"/>
      <c r="E94" s="96"/>
      <c r="F94" s="96"/>
      <c r="G94" s="96"/>
      <c r="H94" s="96"/>
    </row>
    <row r="95" spans="1:8" ht="15.75">
      <c r="A95" s="160">
        <f>inputPrYr!B40</f>
        <v>0</v>
      </c>
      <c r="B95" s="104"/>
      <c r="C95" s="96"/>
      <c r="D95" s="96"/>
      <c r="E95" s="96"/>
      <c r="F95" s="96"/>
      <c r="G95" s="96"/>
      <c r="H95" s="96"/>
    </row>
    <row r="96" spans="1:8" ht="15.75">
      <c r="A96" s="160">
        <f>inputPrYr!B41</f>
        <v>0</v>
      </c>
      <c r="B96" s="104"/>
      <c r="C96" s="96"/>
      <c r="D96" s="96"/>
      <c r="E96" s="96"/>
      <c r="F96" s="96"/>
      <c r="G96" s="96"/>
      <c r="H96" s="96"/>
    </row>
    <row r="97" spans="1:8" ht="15.75">
      <c r="A97" s="160">
        <f>inputPrYr!B42</f>
        <v>0</v>
      </c>
      <c r="B97" s="104"/>
      <c r="C97" s="96"/>
      <c r="D97" s="96"/>
      <c r="E97" s="96"/>
      <c r="F97" s="96"/>
      <c r="G97" s="96"/>
      <c r="H97" s="96"/>
    </row>
    <row r="98" spans="1:8" ht="15.75">
      <c r="A98" s="160">
        <f>inputPrYr!B43</f>
        <v>0</v>
      </c>
      <c r="B98" s="104"/>
      <c r="C98" s="96"/>
      <c r="D98" s="96"/>
      <c r="E98" s="96"/>
      <c r="F98" s="96"/>
      <c r="G98" s="96"/>
      <c r="H98" s="96"/>
    </row>
    <row r="99" spans="1:8" ht="15.75">
      <c r="A99" s="160">
        <f>inputPrYr!B44</f>
        <v>0</v>
      </c>
      <c r="B99" s="104"/>
      <c r="C99" s="96"/>
      <c r="D99" s="96"/>
      <c r="E99" s="96"/>
      <c r="F99" s="96"/>
      <c r="G99" s="96"/>
      <c r="H99" s="96"/>
    </row>
    <row r="100" spans="1:8" ht="15.75">
      <c r="A100" s="160">
        <f>inputPrYr!B45</f>
        <v>0</v>
      </c>
      <c r="B100" s="104"/>
      <c r="C100" s="96"/>
      <c r="D100" s="96"/>
      <c r="E100" s="96"/>
      <c r="F100" s="96"/>
      <c r="G100" s="96"/>
      <c r="H100" s="96"/>
    </row>
    <row r="101" spans="1:8" ht="15.75">
      <c r="A101" s="160">
        <f>inputPrYr!B46</f>
        <v>0</v>
      </c>
      <c r="B101" s="104"/>
      <c r="C101" s="96"/>
      <c r="D101" s="96"/>
      <c r="E101" s="96"/>
      <c r="F101" s="96"/>
      <c r="G101" s="96"/>
      <c r="H101" s="96"/>
    </row>
    <row r="102" spans="1:8" ht="15.75">
      <c r="A102" s="160">
        <f>inputPrYr!B47</f>
        <v>0</v>
      </c>
      <c r="B102" s="104"/>
      <c r="C102" s="96"/>
      <c r="D102" s="96"/>
      <c r="E102" s="96"/>
      <c r="F102" s="96"/>
      <c r="G102" s="96"/>
      <c r="H102" s="96"/>
    </row>
    <row r="103" spans="1:8" ht="15.75">
      <c r="A103" s="160">
        <f>inputPrYr!B48</f>
        <v>0</v>
      </c>
      <c r="B103" s="104"/>
      <c r="C103" s="96"/>
      <c r="D103" s="96"/>
      <c r="E103" s="96"/>
      <c r="F103" s="96"/>
      <c r="G103" s="96"/>
      <c r="H103" s="96"/>
    </row>
    <row r="104" spans="1:8" ht="15.75">
      <c r="A104" s="160">
        <f>inputPrYr!B49</f>
        <v>0</v>
      </c>
      <c r="B104" s="104"/>
      <c r="C104" s="96"/>
      <c r="D104" s="96"/>
      <c r="E104" s="96"/>
      <c r="F104" s="96"/>
      <c r="G104" s="96"/>
      <c r="H104" s="96"/>
    </row>
    <row r="105" spans="1:8" ht="15.75">
      <c r="A105" s="160">
        <f>inputPrYr!B50</f>
        <v>0</v>
      </c>
      <c r="B105" s="104"/>
      <c r="C105" s="96"/>
      <c r="D105" s="96"/>
      <c r="E105" s="96"/>
      <c r="F105" s="96"/>
      <c r="G105" s="96"/>
      <c r="H105" s="96"/>
    </row>
    <row r="106" spans="1:8" ht="15.75">
      <c r="A106" s="160">
        <f>inputPrYr!B51</f>
        <v>0</v>
      </c>
      <c r="B106" s="104"/>
      <c r="C106" s="96"/>
      <c r="D106" s="96"/>
      <c r="E106" s="96"/>
      <c r="F106" s="96"/>
      <c r="G106" s="96"/>
      <c r="H106" s="96"/>
    </row>
    <row r="107" spans="1:8" ht="15.75">
      <c r="A107" s="160">
        <f>inputPrYr!B52</f>
        <v>0</v>
      </c>
      <c r="B107" s="104"/>
      <c r="C107" s="96"/>
      <c r="D107" s="96"/>
      <c r="E107" s="96"/>
      <c r="F107" s="96"/>
      <c r="G107" s="96"/>
      <c r="H107" s="96"/>
    </row>
    <row r="108" spans="1:8" ht="15.75">
      <c r="A108" s="160">
        <f>inputPrYr!B53</f>
        <v>0</v>
      </c>
      <c r="B108" s="104"/>
      <c r="C108" s="96"/>
      <c r="D108" s="96"/>
      <c r="E108" s="96"/>
      <c r="F108" s="96"/>
      <c r="G108" s="96"/>
      <c r="H108" s="96"/>
    </row>
    <row r="109" spans="1:8" ht="15.75">
      <c r="A109" s="160">
        <f>inputPrYr!B54</f>
        <v>0</v>
      </c>
      <c r="B109" s="104"/>
      <c r="C109" s="96"/>
      <c r="D109" s="96"/>
      <c r="E109" s="96"/>
      <c r="F109" s="96"/>
      <c r="G109" s="96"/>
      <c r="H109" s="96"/>
    </row>
    <row r="110" spans="1:8" ht="15.75">
      <c r="A110" s="160">
        <f>inputPrYr!B56</f>
        <v>0</v>
      </c>
      <c r="B110" s="104"/>
      <c r="C110" s="96"/>
      <c r="D110" s="96"/>
      <c r="E110" s="96"/>
      <c r="F110" s="96"/>
      <c r="G110" s="96"/>
      <c r="H110" s="96"/>
    </row>
    <row r="111" spans="1:8" ht="15.75">
      <c r="A111" s="160">
        <f>inputPrYr!B57</f>
        <v>0</v>
      </c>
      <c r="B111" s="104"/>
      <c r="C111" s="96"/>
      <c r="D111" s="96"/>
      <c r="E111" s="96"/>
      <c r="F111" s="96"/>
      <c r="G111" s="96"/>
      <c r="H111" s="96"/>
    </row>
    <row r="112" spans="1:8" ht="15.75">
      <c r="A112" s="160">
        <f>inputPrYr!B58</f>
        <v>0</v>
      </c>
      <c r="B112" s="104"/>
      <c r="C112" s="96"/>
      <c r="D112" s="96"/>
      <c r="E112" s="96"/>
      <c r="F112" s="96"/>
      <c r="G112" s="96"/>
      <c r="H112" s="96"/>
    </row>
    <row r="113" spans="1:8" ht="15.75">
      <c r="A113" s="160">
        <f>inputPrYr!B59</f>
        <v>0</v>
      </c>
      <c r="B113" s="104"/>
      <c r="C113" s="96"/>
      <c r="D113" s="96"/>
      <c r="E113" s="96"/>
      <c r="F113" s="96"/>
      <c r="G113" s="96"/>
      <c r="H113" s="96"/>
    </row>
    <row r="114" spans="7:8" ht="15">
      <c r="G114" s="843"/>
      <c r="H114" s="843"/>
    </row>
  </sheetData>
  <sheetProtection sheet="1"/>
  <mergeCells count="21">
    <mergeCell ref="A3:E3"/>
    <mergeCell ref="B7:B9"/>
    <mergeCell ref="C7:C9"/>
    <mergeCell ref="D7:D9"/>
    <mergeCell ref="E7:E9"/>
    <mergeCell ref="C53:C54"/>
    <mergeCell ref="A44:D44"/>
    <mergeCell ref="C78:E78"/>
    <mergeCell ref="B78:B80"/>
    <mergeCell ref="D53:D54"/>
    <mergeCell ref="A74:F74"/>
    <mergeCell ref="E53:E54"/>
    <mergeCell ref="G53:G54"/>
    <mergeCell ref="F53:F54"/>
    <mergeCell ref="A77:B77"/>
    <mergeCell ref="A27:D27"/>
    <mergeCell ref="A6:F6"/>
    <mergeCell ref="A28:B28"/>
    <mergeCell ref="A16:D16"/>
    <mergeCell ref="A54:B54"/>
    <mergeCell ref="F7:F9"/>
  </mergeCells>
  <printOptions/>
  <pageMargins left="0.75" right="0.75" top="1" bottom="1" header="0.5" footer="0.5"/>
  <pageSetup blackAndWhite="1" fitToHeight="1" fitToWidth="1" horizontalDpi="600" verticalDpi="600" orientation="portrait" scale="37"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00" sqref="Q100"/>
    </sheetView>
  </sheetViews>
  <sheetFormatPr defaultColWidth="8.796875" defaultRowHeight="15"/>
  <cols>
    <col min="1" max="1" width="2.3984375" style="121" customWidth="1"/>
    <col min="2" max="2" width="31.09765625" style="121" customWidth="1"/>
    <col min="3" max="4" width="15.796875" style="121" customWidth="1"/>
    <col min="5" max="5" width="16.09765625" style="121" customWidth="1"/>
    <col min="6" max="16384" width="8.8984375" style="121" customWidth="1"/>
  </cols>
  <sheetData>
    <row r="1" spans="2:5" ht="15.75">
      <c r="B1" s="205">
        <f>(inputPrYr!D3)</f>
        <v>0</v>
      </c>
      <c r="C1" s="81"/>
      <c r="D1" s="81"/>
      <c r="E1" s="292">
        <f>inputPrYr!$C$10</f>
        <v>0</v>
      </c>
    </row>
    <row r="2" spans="2:5" ht="15.75">
      <c r="B2" s="81"/>
      <c r="C2" s="81"/>
      <c r="D2" s="81"/>
      <c r="E2" s="191"/>
    </row>
    <row r="3" spans="2:5" ht="15.75">
      <c r="B3" s="293" t="s">
        <v>7</v>
      </c>
      <c r="C3" s="294"/>
      <c r="D3" s="294"/>
      <c r="E3" s="295"/>
    </row>
    <row r="4" spans="2:5" ht="15.75">
      <c r="B4" s="84" t="s">
        <v>264</v>
      </c>
      <c r="C4" s="573" t="s">
        <v>781</v>
      </c>
      <c r="D4" s="574" t="s">
        <v>782</v>
      </c>
      <c r="E4" s="168" t="s">
        <v>783</v>
      </c>
    </row>
    <row r="5" spans="2:5" ht="15.75">
      <c r="B5" s="520">
        <f>(inputPrYr!B57)</f>
        <v>0</v>
      </c>
      <c r="C5" s="399" t="str">
        <f>CONCATENATE("Actual for ",E1-2,"")</f>
        <v>Actual for -2</v>
      </c>
      <c r="D5" s="399" t="str">
        <f>CONCATENATE("Estimate for ",E1-1,"")</f>
        <v>Estimate for -1</v>
      </c>
      <c r="E5" s="218" t="str">
        <f>CONCATENATE("Year for ",E1,"")</f>
        <v>Year for 0</v>
      </c>
    </row>
    <row r="6" spans="2:5" ht="15.75">
      <c r="B6" s="137" t="s">
        <v>47</v>
      </c>
      <c r="C6" s="95"/>
      <c r="D6" s="297">
        <f>C48</f>
        <v>0</v>
      </c>
      <c r="E6" s="297">
        <f>D48</f>
        <v>0</v>
      </c>
    </row>
    <row r="7" spans="2:5" ht="15.75">
      <c r="B7" s="298"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299"/>
      <c r="C13" s="95"/>
      <c r="D13" s="95"/>
      <c r="E13" s="95"/>
    </row>
    <row r="14" spans="2:5" ht="15.75">
      <c r="B14" s="301"/>
      <c r="C14" s="104"/>
      <c r="D14" s="104"/>
      <c r="E14" s="104"/>
    </row>
    <row r="15" spans="2:5" ht="15.75">
      <c r="B15" s="299"/>
      <c r="C15" s="95"/>
      <c r="D15" s="95"/>
      <c r="E15" s="95"/>
    </row>
    <row r="16" spans="2:5" ht="15.75">
      <c r="B16" s="302" t="s">
        <v>272</v>
      </c>
      <c r="C16" s="95"/>
      <c r="D16" s="95"/>
      <c r="E16" s="95"/>
    </row>
    <row r="17" spans="2:5" ht="15.75">
      <c r="B17" s="303" t="s">
        <v>163</v>
      </c>
      <c r="C17" s="95"/>
      <c r="D17" s="296"/>
      <c r="E17" s="296"/>
    </row>
    <row r="18" spans="2:5" ht="15.75">
      <c r="B18" s="303" t="s">
        <v>645</v>
      </c>
      <c r="C18" s="507">
        <f>IF(C19*0.1&lt;C17,"Exceed 10% Rule","")</f>
      </c>
      <c r="D18" s="304">
        <f>IF(D19*0.1&lt;D17,"Exceed 10% Rule","")</f>
      </c>
      <c r="E18" s="304">
        <f>IF(E19*0.1&lt;E17,"Exceed 10% Rule","")</f>
      </c>
    </row>
    <row r="19" spans="2:5" ht="15.75">
      <c r="B19" s="305" t="s">
        <v>273</v>
      </c>
      <c r="C19" s="307">
        <f>SUM(C8:C17)</f>
        <v>0</v>
      </c>
      <c r="D19" s="307">
        <f>SUM(D8:D17)</f>
        <v>0</v>
      </c>
      <c r="E19" s="307">
        <f>SUM(E8:E17)</f>
        <v>0</v>
      </c>
    </row>
    <row r="20" spans="2:5" ht="15.75">
      <c r="B20" s="305" t="s">
        <v>274</v>
      </c>
      <c r="C20" s="307">
        <f>C6+C19</f>
        <v>0</v>
      </c>
      <c r="D20" s="307">
        <f>D6+D19</f>
        <v>0</v>
      </c>
      <c r="E20" s="307">
        <f>E6+E19</f>
        <v>0</v>
      </c>
    </row>
    <row r="21" spans="2:5" ht="15.75">
      <c r="B21" s="137" t="s">
        <v>276</v>
      </c>
      <c r="C21" s="109"/>
      <c r="D21" s="109"/>
      <c r="E21" s="109"/>
    </row>
    <row r="22" spans="2:5" ht="15.75">
      <c r="B22" s="299" t="s">
        <v>82</v>
      </c>
      <c r="C22" s="95"/>
      <c r="D22" s="95"/>
      <c r="E22" s="95"/>
    </row>
    <row r="23" spans="2:5" ht="15.75">
      <c r="B23" s="299" t="s">
        <v>173</v>
      </c>
      <c r="C23" s="95"/>
      <c r="D23" s="95"/>
      <c r="E23" s="95"/>
    </row>
    <row r="24" spans="2:5" ht="15.75">
      <c r="B24" s="299"/>
      <c r="C24" s="104"/>
      <c r="D24" s="104"/>
      <c r="E24" s="104"/>
    </row>
    <row r="25" spans="2:5" ht="15.75">
      <c r="B25" s="299"/>
      <c r="C25" s="104"/>
      <c r="D25" s="104"/>
      <c r="E25" s="104"/>
    </row>
    <row r="26" spans="2:5" ht="15.75">
      <c r="B26" s="299"/>
      <c r="C26" s="104"/>
      <c r="D26" s="104"/>
      <c r="E26" s="104"/>
    </row>
    <row r="27" spans="2:5" ht="15.75">
      <c r="B27" s="299"/>
      <c r="C27" s="104"/>
      <c r="D27" s="104"/>
      <c r="E27" s="104"/>
    </row>
    <row r="28" spans="2:5" ht="15.75">
      <c r="B28" s="299"/>
      <c r="C28" s="104"/>
      <c r="D28" s="104"/>
      <c r="E28" s="104"/>
    </row>
    <row r="29" spans="2:5" ht="15.75">
      <c r="B29" s="299"/>
      <c r="C29" s="104"/>
      <c r="D29" s="104"/>
      <c r="E29" s="104"/>
    </row>
    <row r="30" spans="2:5" ht="15.75">
      <c r="B30" s="299"/>
      <c r="C30" s="104"/>
      <c r="D30" s="104"/>
      <c r="E30" s="104"/>
    </row>
    <row r="31" spans="2:5" ht="15.75">
      <c r="B31" s="299"/>
      <c r="C31" s="104"/>
      <c r="D31" s="104"/>
      <c r="E31" s="104"/>
    </row>
    <row r="32" spans="2:5" ht="15.75">
      <c r="B32" s="299"/>
      <c r="C32" s="104"/>
      <c r="D32" s="104"/>
      <c r="E32" s="104"/>
    </row>
    <row r="33" spans="2:5" ht="15.75">
      <c r="B33" s="299"/>
      <c r="C33" s="104"/>
      <c r="D33" s="104"/>
      <c r="E33" s="104"/>
    </row>
    <row r="34" spans="2:5" ht="15.75">
      <c r="B34" s="299"/>
      <c r="C34" s="104"/>
      <c r="D34" s="104"/>
      <c r="E34" s="104"/>
    </row>
    <row r="35" spans="2:5" ht="15.75">
      <c r="B35" s="299"/>
      <c r="C35" s="95"/>
      <c r="D35" s="95"/>
      <c r="E35" s="95"/>
    </row>
    <row r="36" spans="2:5" ht="15.75">
      <c r="B36" s="299"/>
      <c r="C36" s="95"/>
      <c r="D36" s="95"/>
      <c r="E36" s="95"/>
    </row>
    <row r="37" spans="2:5" ht="15.75">
      <c r="B37" s="299"/>
      <c r="C37" s="95"/>
      <c r="D37" s="95"/>
      <c r="E37" s="95"/>
    </row>
    <row r="38" spans="2:5" ht="15.75">
      <c r="B38" s="299"/>
      <c r="C38" s="95"/>
      <c r="D38" s="95"/>
      <c r="E38" s="95"/>
    </row>
    <row r="39" spans="2:5" ht="15.75">
      <c r="B39" s="299"/>
      <c r="C39" s="95"/>
      <c r="D39" s="95"/>
      <c r="E39" s="95"/>
    </row>
    <row r="40" spans="2:5" ht="15.75">
      <c r="B40" s="299"/>
      <c r="C40" s="95"/>
      <c r="D40" s="95"/>
      <c r="E40" s="95"/>
    </row>
    <row r="41" spans="2:5" ht="15.75">
      <c r="B41" s="299"/>
      <c r="C41" s="95"/>
      <c r="D41" s="95"/>
      <c r="E41" s="95"/>
    </row>
    <row r="42" spans="2:5" ht="15.75">
      <c r="B42" s="299"/>
      <c r="C42" s="95"/>
      <c r="D42" s="95"/>
      <c r="E42" s="95"/>
    </row>
    <row r="43" spans="2:5" ht="15.75">
      <c r="B43" s="299"/>
      <c r="C43" s="95"/>
      <c r="D43" s="95"/>
      <c r="E43" s="95"/>
    </row>
    <row r="44" spans="2:5" ht="15.75">
      <c r="B44" s="303" t="str">
        <f>CONCATENATE("Cash Forward (",E1," column)")</f>
        <v>Cash Forward (0 column)</v>
      </c>
      <c r="C44" s="95"/>
      <c r="D44" s="95"/>
      <c r="E44" s="95"/>
    </row>
    <row r="45" spans="2:5" ht="15.75">
      <c r="B45" s="303" t="s">
        <v>163</v>
      </c>
      <c r="C45" s="95"/>
      <c r="D45" s="296"/>
      <c r="E45" s="296"/>
    </row>
    <row r="46" spans="2:5" ht="15.75">
      <c r="B46" s="303" t="s">
        <v>644</v>
      </c>
      <c r="C46" s="507">
        <f>IF(C47*0.1&lt;C45,"Exceed 10% Rule","")</f>
      </c>
      <c r="D46" s="304">
        <f>IF(D47*0.1&lt;D45,"Exceed 10% Rule","")</f>
      </c>
      <c r="E46" s="304">
        <f>IF(E47*0.1&lt;E45,"Exceed 10% Rule","")</f>
      </c>
    </row>
    <row r="47" spans="2:5" ht="15.75">
      <c r="B47" s="305" t="s">
        <v>280</v>
      </c>
      <c r="C47" s="307">
        <f>SUM(C22:C45)</f>
        <v>0</v>
      </c>
      <c r="D47" s="307">
        <f>SUM(D22:D45)</f>
        <v>0</v>
      </c>
      <c r="E47" s="307">
        <f>SUM(E22:E45)</f>
        <v>0</v>
      </c>
    </row>
    <row r="48" spans="2:5" ht="15.75">
      <c r="B48" s="137" t="s">
        <v>48</v>
      </c>
      <c r="C48" s="106">
        <f>C20-C47</f>
        <v>0</v>
      </c>
      <c r="D48" s="106">
        <f>D20-D47</f>
        <v>0</v>
      </c>
      <c r="E48" s="106">
        <f>E20-E47</f>
        <v>0</v>
      </c>
    </row>
    <row r="49" spans="2:5" ht="15.75">
      <c r="B49" s="195" t="str">
        <f>CONCATENATE("",E1-2,"/",E1-1,"/",E1," Budget Authority Amount:")</f>
        <v>-2/-1/0 Budget Authority Amount:</v>
      </c>
      <c r="C49" s="326">
        <f>inputOth!B111</f>
        <v>0</v>
      </c>
      <c r="D49" s="326">
        <f>inputPrYr!D57</f>
        <v>0</v>
      </c>
      <c r="E49" s="742">
        <f>E47</f>
        <v>0</v>
      </c>
    </row>
    <row r="50" spans="2:5" ht="15.75">
      <c r="B50" s="161"/>
      <c r="C50" s="309">
        <f>IF(C47&gt;C49,"See Tab A","")</f>
      </c>
      <c r="D50" s="309">
        <f>IF(D47&gt;D49,"See Tab C","")</f>
      </c>
      <c r="E50" s="743">
        <f>IF(E48&lt;0,"See Tab E","")</f>
      </c>
    </row>
    <row r="51" spans="2:5" ht="15.75">
      <c r="B51" s="161"/>
      <c r="C51" s="309">
        <f>IF(C48&lt;0,"See Tab B","")</f>
      </c>
      <c r="D51" s="309">
        <f>IF(D48&lt;0,"See Tab D","")</f>
      </c>
      <c r="E51" s="96"/>
    </row>
    <row r="52" spans="2:5" ht="15">
      <c r="B52" s="96"/>
      <c r="C52" s="96"/>
      <c r="D52" s="96"/>
      <c r="E52" s="96"/>
    </row>
    <row r="53" spans="2:5" ht="15.75">
      <c r="B53" s="161" t="s">
        <v>283</v>
      </c>
      <c r="C53" s="839"/>
      <c r="D53" s="96"/>
      <c r="E53" s="96"/>
    </row>
  </sheetData>
  <sheetProtection sheet="1"/>
  <conditionalFormatting sqref="C17">
    <cfRule type="cellIs" priority="2" dxfId="326" operator="greaterThan" stopIfTrue="1">
      <formula>$C$19*0.1</formula>
    </cfRule>
  </conditionalFormatting>
  <conditionalFormatting sqref="D17">
    <cfRule type="cellIs" priority="3" dxfId="326" operator="greaterThan" stopIfTrue="1">
      <formula>$D$19*0.1</formula>
    </cfRule>
  </conditionalFormatting>
  <conditionalFormatting sqref="E17">
    <cfRule type="cellIs" priority="4" dxfId="326" operator="greaterThan" stopIfTrue="1">
      <formula>$E$19*0.1</formula>
    </cfRule>
  </conditionalFormatting>
  <conditionalFormatting sqref="C45">
    <cfRule type="cellIs" priority="5" dxfId="326" operator="greaterThan" stopIfTrue="1">
      <formula>$C$47*0.1</formula>
    </cfRule>
  </conditionalFormatting>
  <conditionalFormatting sqref="D45">
    <cfRule type="cellIs" priority="6" dxfId="326" operator="greaterThan" stopIfTrue="1">
      <formula>$D$47*0.1</formula>
    </cfRule>
  </conditionalFormatting>
  <conditionalFormatting sqref="E45">
    <cfRule type="cellIs" priority="7" dxfId="326" operator="greaterThan" stopIfTrue="1">
      <formula>$E$47*0.1</formula>
    </cfRule>
  </conditionalFormatting>
  <conditionalFormatting sqref="E48 C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09" sqref="Q109"/>
    </sheetView>
  </sheetViews>
  <sheetFormatPr defaultColWidth="8.796875" defaultRowHeight="15"/>
  <cols>
    <col min="1" max="1" width="2.3984375" style="121" customWidth="1"/>
    <col min="2" max="2" width="31.09765625" style="121" customWidth="1"/>
    <col min="3" max="4" width="15.796875" style="121" customWidth="1"/>
    <col min="5" max="5" width="16.09765625" style="121" customWidth="1"/>
    <col min="6" max="16384" width="8.8984375" style="121" customWidth="1"/>
  </cols>
  <sheetData>
    <row r="1" spans="2:5" ht="15.75">
      <c r="B1" s="205">
        <f>(inputPrYr!D3)</f>
        <v>0</v>
      </c>
      <c r="C1" s="81"/>
      <c r="D1" s="81"/>
      <c r="E1" s="292">
        <f>inputPrYr!$C$10</f>
        <v>0</v>
      </c>
    </row>
    <row r="2" spans="2:5" ht="15.75">
      <c r="B2" s="81"/>
      <c r="C2" s="81"/>
      <c r="D2" s="81"/>
      <c r="E2" s="191"/>
    </row>
    <row r="3" spans="2:5" ht="15.75">
      <c r="B3" s="293" t="s">
        <v>7</v>
      </c>
      <c r="C3" s="294"/>
      <c r="D3" s="294"/>
      <c r="E3" s="295"/>
    </row>
    <row r="4" spans="2:5" ht="15.75">
      <c r="B4" s="84" t="s">
        <v>264</v>
      </c>
      <c r="C4" s="573" t="s">
        <v>781</v>
      </c>
      <c r="D4" s="574" t="s">
        <v>782</v>
      </c>
      <c r="E4" s="168" t="s">
        <v>783</v>
      </c>
    </row>
    <row r="5" spans="2:5" ht="15.75">
      <c r="B5" s="520">
        <f>(inputPrYr!B58)</f>
        <v>0</v>
      </c>
      <c r="C5" s="399" t="str">
        <f>CONCATENATE("Actual for ",E1-2,"")</f>
        <v>Actual for -2</v>
      </c>
      <c r="D5" s="399" t="str">
        <f>CONCATENATE("Estimate for ",E1-1,"")</f>
        <v>Estimate for -1</v>
      </c>
      <c r="E5" s="218" t="str">
        <f>CONCATENATE("Year for ",E1,"")</f>
        <v>Year for 0</v>
      </c>
    </row>
    <row r="6" spans="2:5" ht="15.75">
      <c r="B6" s="137" t="s">
        <v>47</v>
      </c>
      <c r="C6" s="95"/>
      <c r="D6" s="297">
        <f>C48</f>
        <v>0</v>
      </c>
      <c r="E6" s="297">
        <f>D48</f>
        <v>0</v>
      </c>
    </row>
    <row r="7" spans="2:5" ht="15.75">
      <c r="B7" s="298" t="s">
        <v>49</v>
      </c>
      <c r="C7" s="109"/>
      <c r="D7" s="109"/>
      <c r="E7" s="109"/>
    </row>
    <row r="8" spans="2:5" ht="15.75">
      <c r="B8" s="299"/>
      <c r="C8" s="95"/>
      <c r="D8" s="95"/>
      <c r="E8" s="95"/>
    </row>
    <row r="9" spans="2:5" ht="15.75">
      <c r="B9" s="299"/>
      <c r="C9" s="95"/>
      <c r="D9" s="95"/>
      <c r="E9" s="95"/>
    </row>
    <row r="10" spans="2:5" ht="15.75">
      <c r="B10" s="299"/>
      <c r="C10" s="95"/>
      <c r="D10" s="95"/>
      <c r="E10" s="95"/>
    </row>
    <row r="11" spans="2:5" ht="15.75">
      <c r="B11" s="299"/>
      <c r="C11" s="95"/>
      <c r="D11" s="95"/>
      <c r="E11" s="95"/>
    </row>
    <row r="12" spans="2:5" ht="15.75">
      <c r="B12" s="299"/>
      <c r="C12" s="95"/>
      <c r="D12" s="95"/>
      <c r="E12" s="95"/>
    </row>
    <row r="13" spans="2:5" ht="15.75">
      <c r="B13" s="299"/>
      <c r="C13" s="95"/>
      <c r="D13" s="95"/>
      <c r="E13" s="95"/>
    </row>
    <row r="14" spans="2:5" ht="15.75">
      <c r="B14" s="301"/>
      <c r="C14" s="104"/>
      <c r="D14" s="104"/>
      <c r="E14" s="104"/>
    </row>
    <row r="15" spans="2:5" ht="15.75">
      <c r="B15" s="299"/>
      <c r="C15" s="95"/>
      <c r="D15" s="95"/>
      <c r="E15" s="95"/>
    </row>
    <row r="16" spans="2:5" ht="15.75">
      <c r="B16" s="302" t="s">
        <v>272</v>
      </c>
      <c r="C16" s="95"/>
      <c r="D16" s="95"/>
      <c r="E16" s="95"/>
    </row>
    <row r="17" spans="2:5" ht="15.75">
      <c r="B17" s="303" t="s">
        <v>163</v>
      </c>
      <c r="C17" s="95"/>
      <c r="D17" s="296"/>
      <c r="E17" s="296"/>
    </row>
    <row r="18" spans="2:5" ht="15.75">
      <c r="B18" s="303" t="s">
        <v>645</v>
      </c>
      <c r="C18" s="507">
        <f>IF(C19*0.1&lt;C17,"Exceed 10% Rule","")</f>
      </c>
      <c r="D18" s="304">
        <f>IF(D19*0.1&lt;D17,"Exceed 10% Rule","")</f>
      </c>
      <c r="E18" s="304">
        <f>IF(E19*0.1&lt;E17,"Exceed 10% Rule","")</f>
      </c>
    </row>
    <row r="19" spans="2:5" ht="15.75">
      <c r="B19" s="305" t="s">
        <v>273</v>
      </c>
      <c r="C19" s="307">
        <f>SUM(C8:C17)</f>
        <v>0</v>
      </c>
      <c r="D19" s="307">
        <f>SUM(D8:D17)</f>
        <v>0</v>
      </c>
      <c r="E19" s="307">
        <f>SUM(E8:E17)</f>
        <v>0</v>
      </c>
    </row>
    <row r="20" spans="2:5" ht="15.75">
      <c r="B20" s="305" t="s">
        <v>274</v>
      </c>
      <c r="C20" s="307">
        <f>C6+C19</f>
        <v>0</v>
      </c>
      <c r="D20" s="307">
        <f>D6+D19</f>
        <v>0</v>
      </c>
      <c r="E20" s="307">
        <f>E6+E19</f>
        <v>0</v>
      </c>
    </row>
    <row r="21" spans="2:5" ht="15.75">
      <c r="B21" s="137" t="s">
        <v>276</v>
      </c>
      <c r="C21" s="109"/>
      <c r="D21" s="109"/>
      <c r="E21" s="109"/>
    </row>
    <row r="22" spans="2:5" ht="15.75">
      <c r="B22" s="299" t="s">
        <v>82</v>
      </c>
      <c r="C22" s="95"/>
      <c r="D22" s="95"/>
      <c r="E22" s="95"/>
    </row>
    <row r="23" spans="2:5" ht="15.75">
      <c r="B23" s="299" t="s">
        <v>173</v>
      </c>
      <c r="C23" s="95"/>
      <c r="D23" s="95"/>
      <c r="E23" s="95"/>
    </row>
    <row r="24" spans="2:5" ht="15.75">
      <c r="B24" s="299"/>
      <c r="C24" s="104"/>
      <c r="D24" s="104"/>
      <c r="E24" s="104"/>
    </row>
    <row r="25" spans="2:5" ht="15.75">
      <c r="B25" s="299"/>
      <c r="C25" s="104"/>
      <c r="D25" s="104"/>
      <c r="E25" s="104"/>
    </row>
    <row r="26" spans="2:5" ht="15.75">
      <c r="B26" s="299"/>
      <c r="C26" s="104"/>
      <c r="D26" s="104"/>
      <c r="E26" s="104"/>
    </row>
    <row r="27" spans="2:5" ht="15.75">
      <c r="B27" s="299"/>
      <c r="C27" s="104"/>
      <c r="D27" s="104"/>
      <c r="E27" s="104"/>
    </row>
    <row r="28" spans="2:5" ht="15.75">
      <c r="B28" s="299"/>
      <c r="C28" s="104"/>
      <c r="D28" s="104"/>
      <c r="E28" s="104"/>
    </row>
    <row r="29" spans="2:5" ht="15.75">
      <c r="B29" s="299"/>
      <c r="C29" s="104"/>
      <c r="D29" s="104"/>
      <c r="E29" s="104"/>
    </row>
    <row r="30" spans="2:5" ht="15.75">
      <c r="B30" s="299"/>
      <c r="C30" s="104"/>
      <c r="D30" s="104"/>
      <c r="E30" s="104"/>
    </row>
    <row r="31" spans="2:5" ht="15.75">
      <c r="B31" s="299"/>
      <c r="C31" s="104"/>
      <c r="D31" s="104"/>
      <c r="E31" s="104"/>
    </row>
    <row r="32" spans="2:5" ht="15.75">
      <c r="B32" s="299"/>
      <c r="C32" s="104"/>
      <c r="D32" s="104"/>
      <c r="E32" s="104"/>
    </row>
    <row r="33" spans="2:5" ht="15.75">
      <c r="B33" s="299"/>
      <c r="C33" s="104"/>
      <c r="D33" s="104"/>
      <c r="E33" s="104"/>
    </row>
    <row r="34" spans="2:5" ht="15.75">
      <c r="B34" s="299"/>
      <c r="C34" s="104"/>
      <c r="D34" s="104"/>
      <c r="E34" s="104"/>
    </row>
    <row r="35" spans="2:5" ht="15.75">
      <c r="B35" s="299"/>
      <c r="C35" s="95"/>
      <c r="D35" s="95"/>
      <c r="E35" s="95"/>
    </row>
    <row r="36" spans="2:5" ht="15.75">
      <c r="B36" s="299"/>
      <c r="C36" s="95"/>
      <c r="D36" s="95"/>
      <c r="E36" s="95"/>
    </row>
    <row r="37" spans="2:5" ht="15.75">
      <c r="B37" s="299"/>
      <c r="C37" s="95"/>
      <c r="D37" s="95"/>
      <c r="E37" s="95"/>
    </row>
    <row r="38" spans="2:5" ht="15.75">
      <c r="B38" s="299"/>
      <c r="C38" s="95"/>
      <c r="D38" s="95"/>
      <c r="E38" s="95"/>
    </row>
    <row r="39" spans="2:5" ht="15.75">
      <c r="B39" s="299"/>
      <c r="C39" s="95"/>
      <c r="D39" s="95"/>
      <c r="E39" s="95"/>
    </row>
    <row r="40" spans="2:5" ht="15.75">
      <c r="B40" s="299"/>
      <c r="C40" s="95"/>
      <c r="D40" s="95"/>
      <c r="E40" s="95"/>
    </row>
    <row r="41" spans="2:5" ht="15.75">
      <c r="B41" s="299"/>
      <c r="C41" s="95"/>
      <c r="D41" s="95"/>
      <c r="E41" s="95"/>
    </row>
    <row r="42" spans="2:5" ht="15.75">
      <c r="B42" s="299"/>
      <c r="C42" s="95"/>
      <c r="D42" s="95"/>
      <c r="E42" s="95"/>
    </row>
    <row r="43" spans="2:5" ht="15.75">
      <c r="B43" s="299"/>
      <c r="C43" s="95"/>
      <c r="D43" s="95"/>
      <c r="E43" s="95"/>
    </row>
    <row r="44" spans="2:5" ht="15.75">
      <c r="B44" s="303" t="str">
        <f>CONCATENATE("Cash Forward (",E1," column)")</f>
        <v>Cash Forward (0 column)</v>
      </c>
      <c r="C44" s="95"/>
      <c r="D44" s="95"/>
      <c r="E44" s="95"/>
    </row>
    <row r="45" spans="2:5" ht="15.75">
      <c r="B45" s="303" t="s">
        <v>163</v>
      </c>
      <c r="C45" s="95"/>
      <c r="D45" s="296"/>
      <c r="E45" s="296"/>
    </row>
    <row r="46" spans="2:5" ht="15.75">
      <c r="B46" s="303" t="s">
        <v>644</v>
      </c>
      <c r="C46" s="507">
        <f>IF(C47*0.1&lt;C45,"Exceed 10% Rule","")</f>
      </c>
      <c r="D46" s="304">
        <f>IF(D47*0.1&lt;D45,"Exceed 10% Rule","")</f>
      </c>
      <c r="E46" s="304">
        <f>IF(E47*0.1&lt;E45,"Exceed 10% Rule","")</f>
      </c>
    </row>
    <row r="47" spans="2:5" ht="15.75">
      <c r="B47" s="305" t="s">
        <v>280</v>
      </c>
      <c r="C47" s="307">
        <f>SUM(C22:C45)</f>
        <v>0</v>
      </c>
      <c r="D47" s="307">
        <f>SUM(D22:D45)</f>
        <v>0</v>
      </c>
      <c r="E47" s="307">
        <f>SUM(E22:E45)</f>
        <v>0</v>
      </c>
    </row>
    <row r="48" spans="2:5" ht="15.75">
      <c r="B48" s="137" t="s">
        <v>48</v>
      </c>
      <c r="C48" s="106">
        <f>C20-C47</f>
        <v>0</v>
      </c>
      <c r="D48" s="106">
        <f>D20-D47</f>
        <v>0</v>
      </c>
      <c r="E48" s="106">
        <f>E20-E47</f>
        <v>0</v>
      </c>
    </row>
    <row r="49" spans="2:5" ht="15.75">
      <c r="B49" s="195" t="str">
        <f>CONCATENATE("",E1-2,"/",E1-1,"/",E1," Budget Authority Amount:")</f>
        <v>-2/-1/0 Budget Authority Amount:</v>
      </c>
      <c r="C49" s="326">
        <f>inputOth!B112</f>
        <v>0</v>
      </c>
      <c r="D49" s="326">
        <f>inputPrYr!D58</f>
        <v>0</v>
      </c>
      <c r="E49" s="742">
        <f>E47</f>
        <v>0</v>
      </c>
    </row>
    <row r="50" spans="2:5" ht="15.75">
      <c r="B50" s="161"/>
      <c r="C50" s="309">
        <f>IF(C47&gt;C49,"See Tab A","")</f>
      </c>
      <c r="D50" s="309">
        <f>IF(D47&gt;D49,"See Tab C","")</f>
      </c>
      <c r="E50" s="743">
        <f>IF(E48&lt;0,"See Tab E","")</f>
      </c>
    </row>
    <row r="51" spans="2:5" ht="15.75">
      <c r="B51" s="161"/>
      <c r="C51" s="309">
        <f>IF(C48&lt;0,"See Tab B","")</f>
      </c>
      <c r="D51" s="309">
        <f>IF(D48&lt;0,"See Tab D","")</f>
      </c>
      <c r="E51" s="96"/>
    </row>
    <row r="52" spans="2:5" ht="15.75">
      <c r="B52" s="161"/>
      <c r="C52" s="309"/>
      <c r="D52" s="309"/>
      <c r="E52" s="96"/>
    </row>
    <row r="53" spans="2:5" ht="15.75">
      <c r="B53" s="161" t="s">
        <v>283</v>
      </c>
      <c r="C53" s="839"/>
      <c r="D53" s="96"/>
      <c r="E53" s="96"/>
    </row>
  </sheetData>
  <sheetProtection sheet="1"/>
  <conditionalFormatting sqref="C17">
    <cfRule type="cellIs" priority="2" dxfId="326" operator="greaterThan" stopIfTrue="1">
      <formula>$C$19*0.1</formula>
    </cfRule>
  </conditionalFormatting>
  <conditionalFormatting sqref="D17">
    <cfRule type="cellIs" priority="3" dxfId="326" operator="greaterThan" stopIfTrue="1">
      <formula>$D$19*0.1</formula>
    </cfRule>
  </conditionalFormatting>
  <conditionalFormatting sqref="E17">
    <cfRule type="cellIs" priority="4" dxfId="326" operator="greaterThan" stopIfTrue="1">
      <formula>$E$19*0.1</formula>
    </cfRule>
  </conditionalFormatting>
  <conditionalFormatting sqref="C45">
    <cfRule type="cellIs" priority="5" dxfId="326" operator="greaterThan" stopIfTrue="1">
      <formula>$C$47*0.1</formula>
    </cfRule>
  </conditionalFormatting>
  <conditionalFormatting sqref="D45">
    <cfRule type="cellIs" priority="6" dxfId="326" operator="greaterThan" stopIfTrue="1">
      <formula>$D$47*0.1</formula>
    </cfRule>
  </conditionalFormatting>
  <conditionalFormatting sqref="E45">
    <cfRule type="cellIs" priority="7" dxfId="326" operator="greaterThan" stopIfTrue="1">
      <formula>$E$47*0.1</formula>
    </cfRule>
  </conditionalFormatting>
  <conditionalFormatting sqref="E48 C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23" sqref="Q123"/>
    </sheetView>
  </sheetViews>
  <sheetFormatPr defaultColWidth="8.796875" defaultRowHeight="15"/>
  <cols>
    <col min="1" max="1" width="2.3984375" style="0" customWidth="1"/>
    <col min="2" max="2" width="31.09765625" style="0" customWidth="1"/>
    <col min="3" max="4" width="15.796875" style="0" customWidth="1"/>
    <col min="5" max="5" width="16.19921875" style="0" customWidth="1"/>
  </cols>
  <sheetData>
    <row r="1" spans="2:5" ht="15.75">
      <c r="B1" s="14">
        <f>(inputPrYr!D3)</f>
        <v>0</v>
      </c>
      <c r="C1" s="6"/>
      <c r="D1" s="6"/>
      <c r="E1" s="28">
        <f>inputPrYr!$C$10</f>
        <v>0</v>
      </c>
    </row>
    <row r="2" spans="2:5" ht="15.75">
      <c r="B2" s="6"/>
      <c r="C2" s="6"/>
      <c r="D2" s="6"/>
      <c r="E2" s="8"/>
    </row>
    <row r="3" spans="2:5" ht="15.75">
      <c r="B3" s="27" t="s">
        <v>7</v>
      </c>
      <c r="C3" s="31"/>
      <c r="D3" s="31"/>
      <c r="E3" s="32"/>
    </row>
    <row r="4" spans="2:5" ht="15.75">
      <c r="B4" s="9" t="s">
        <v>264</v>
      </c>
      <c r="C4" s="573" t="s">
        <v>781</v>
      </c>
      <c r="D4" s="574" t="s">
        <v>782</v>
      </c>
      <c r="E4" s="168" t="s">
        <v>783</v>
      </c>
    </row>
    <row r="5" spans="2:5" ht="15.75">
      <c r="B5" s="536">
        <f>(inputPrYr!B59)</f>
        <v>0</v>
      </c>
      <c r="C5" s="399" t="str">
        <f>CONCATENATE("Actual for ",E1-2,"")</f>
        <v>Actual for -2</v>
      </c>
      <c r="D5" s="399" t="str">
        <f>CONCATENATE("Estimate for ",E1-1,"")</f>
        <v>Estimate for -1</v>
      </c>
      <c r="E5" s="218" t="str">
        <f>CONCATENATE("Year for ",E1,"")</f>
        <v>Year for 0</v>
      </c>
    </row>
    <row r="6" spans="2:5" ht="15.75">
      <c r="B6" s="11" t="s">
        <v>47</v>
      </c>
      <c r="C6" s="495"/>
      <c r="D6" s="24">
        <f>C48</f>
        <v>0</v>
      </c>
      <c r="E6" s="24">
        <f>D48</f>
        <v>0</v>
      </c>
    </row>
    <row r="7" spans="2:5" ht="15.75">
      <c r="B7" s="57" t="s">
        <v>49</v>
      </c>
      <c r="C7" s="12"/>
      <c r="D7" s="12"/>
      <c r="E7" s="12"/>
    </row>
    <row r="8" spans="2:5" ht="15.75">
      <c r="B8" s="54"/>
      <c r="C8" s="495"/>
      <c r="D8" s="495"/>
      <c r="E8" s="495"/>
    </row>
    <row r="9" spans="2:5" ht="15.75">
      <c r="B9" s="54"/>
      <c r="C9" s="495"/>
      <c r="D9" s="495"/>
      <c r="E9" s="495"/>
    </row>
    <row r="10" spans="2:5" ht="15.75">
      <c r="B10" s="54"/>
      <c r="C10" s="495"/>
      <c r="D10" s="495"/>
      <c r="E10" s="495"/>
    </row>
    <row r="11" spans="2:5" ht="15.75">
      <c r="B11" s="54"/>
      <c r="C11" s="495"/>
      <c r="D11" s="495"/>
      <c r="E11" s="495"/>
    </row>
    <row r="12" spans="2:5" ht="15.75">
      <c r="B12" s="54"/>
      <c r="C12" s="495"/>
      <c r="D12" s="495"/>
      <c r="E12" s="495"/>
    </row>
    <row r="13" spans="2:5" ht="15.75">
      <c r="B13" s="54"/>
      <c r="C13" s="495"/>
      <c r="D13" s="495"/>
      <c r="E13" s="495"/>
    </row>
    <row r="14" spans="2:5" ht="15.75">
      <c r="B14" s="55"/>
      <c r="C14" s="496"/>
      <c r="D14" s="496"/>
      <c r="E14" s="496"/>
    </row>
    <row r="15" spans="2:5" ht="15.75">
      <c r="B15" s="54"/>
      <c r="C15" s="495"/>
      <c r="D15" s="495"/>
      <c r="E15" s="495"/>
    </row>
    <row r="16" spans="2:5" ht="15.75">
      <c r="B16" s="56" t="s">
        <v>272</v>
      </c>
      <c r="C16" s="495"/>
      <c r="D16" s="495"/>
      <c r="E16" s="495"/>
    </row>
    <row r="17" spans="2:5" ht="15.75">
      <c r="B17" s="59" t="s">
        <v>163</v>
      </c>
      <c r="C17" s="495"/>
      <c r="D17" s="58"/>
      <c r="E17" s="58"/>
    </row>
    <row r="18" spans="2:5" ht="15.75">
      <c r="B18" s="59" t="s">
        <v>645</v>
      </c>
      <c r="C18" s="508">
        <f>IF(C19*0.1&lt;C17,"Exceed 10% Rule","")</f>
      </c>
      <c r="D18" s="60">
        <f>IF(D19*0.1&lt;D17,"Exceed 10% Rule","")</f>
      </c>
      <c r="E18" s="60">
        <f>IF(E19*0.1&lt;E17,"Exceed 10% Rule","")</f>
      </c>
    </row>
    <row r="19" spans="2:5" ht="15.75">
      <c r="B19" s="29" t="s">
        <v>273</v>
      </c>
      <c r="C19" s="51">
        <f>SUM(C8:C17)</f>
        <v>0</v>
      </c>
      <c r="D19" s="51">
        <f>SUM(D8:D17)</f>
        <v>0</v>
      </c>
      <c r="E19" s="51">
        <f>SUM(E8:E17)</f>
        <v>0</v>
      </c>
    </row>
    <row r="20" spans="2:5" ht="15.75">
      <c r="B20" s="29" t="s">
        <v>274</v>
      </c>
      <c r="C20" s="51">
        <f>C6+C19</f>
        <v>0</v>
      </c>
      <c r="D20" s="51">
        <f>D6+D19</f>
        <v>0</v>
      </c>
      <c r="E20" s="51">
        <f>E6+E19</f>
        <v>0</v>
      </c>
    </row>
    <row r="21" spans="2:5" ht="15.75">
      <c r="B21" s="11" t="s">
        <v>276</v>
      </c>
      <c r="C21" s="12"/>
      <c r="D21" s="12"/>
      <c r="E21" s="12"/>
    </row>
    <row r="22" spans="2:5" ht="15.75">
      <c r="B22" s="54" t="s">
        <v>82</v>
      </c>
      <c r="C22" s="495"/>
      <c r="D22" s="495"/>
      <c r="E22" s="495"/>
    </row>
    <row r="23" spans="2:5" ht="15.75">
      <c r="B23" s="54" t="s">
        <v>173</v>
      </c>
      <c r="C23" s="495"/>
      <c r="D23" s="495"/>
      <c r="E23" s="495"/>
    </row>
    <row r="24" spans="2:5" ht="15.75">
      <c r="B24" s="54"/>
      <c r="C24" s="496"/>
      <c r="D24" s="496"/>
      <c r="E24" s="496"/>
    </row>
    <row r="25" spans="2:5" ht="15.75">
      <c r="B25" s="54"/>
      <c r="C25" s="496"/>
      <c r="D25" s="496"/>
      <c r="E25" s="496"/>
    </row>
    <row r="26" spans="2:5" ht="15.75">
      <c r="B26" s="54"/>
      <c r="C26" s="496"/>
      <c r="D26" s="496"/>
      <c r="E26" s="496"/>
    </row>
    <row r="27" spans="2:5" ht="15.75">
      <c r="B27" s="54"/>
      <c r="C27" s="496"/>
      <c r="D27" s="496"/>
      <c r="E27" s="496"/>
    </row>
    <row r="28" spans="2:5" ht="15.75">
      <c r="B28" s="54"/>
      <c r="C28" s="496"/>
      <c r="D28" s="496"/>
      <c r="E28" s="496"/>
    </row>
    <row r="29" spans="2:5" ht="15.75">
      <c r="B29" s="54"/>
      <c r="C29" s="496"/>
      <c r="D29" s="496"/>
      <c r="E29" s="496"/>
    </row>
    <row r="30" spans="2:5" ht="15.75">
      <c r="B30" s="54"/>
      <c r="C30" s="496"/>
      <c r="D30" s="496"/>
      <c r="E30" s="496"/>
    </row>
    <row r="31" spans="2:5" ht="15.75">
      <c r="B31" s="54"/>
      <c r="C31" s="496"/>
      <c r="D31" s="496"/>
      <c r="E31" s="496"/>
    </row>
    <row r="32" spans="2:5" ht="15.75">
      <c r="B32" s="54"/>
      <c r="C32" s="496"/>
      <c r="D32" s="496"/>
      <c r="E32" s="496"/>
    </row>
    <row r="33" spans="2:5" ht="15.75">
      <c r="B33" s="54"/>
      <c r="C33" s="496"/>
      <c r="D33" s="496"/>
      <c r="E33" s="496"/>
    </row>
    <row r="34" spans="2:5" ht="15.75">
      <c r="B34" s="54"/>
      <c r="C34" s="496"/>
      <c r="D34" s="496"/>
      <c r="E34" s="496"/>
    </row>
    <row r="35" spans="2:5" ht="15.75">
      <c r="B35" s="54"/>
      <c r="C35" s="495"/>
      <c r="D35" s="495"/>
      <c r="E35" s="495"/>
    </row>
    <row r="36" spans="2:5" ht="15.75">
      <c r="B36" s="54"/>
      <c r="C36" s="495"/>
      <c r="D36" s="495"/>
      <c r="E36" s="495"/>
    </row>
    <row r="37" spans="2:5" ht="15.75">
      <c r="B37" s="54"/>
      <c r="C37" s="495"/>
      <c r="D37" s="495"/>
      <c r="E37" s="495"/>
    </row>
    <row r="38" spans="2:5" ht="15.75">
      <c r="B38" s="54"/>
      <c r="C38" s="495"/>
      <c r="D38" s="495"/>
      <c r="E38" s="495"/>
    </row>
    <row r="39" spans="2:5" ht="15.75">
      <c r="B39" s="54"/>
      <c r="C39" s="495"/>
      <c r="D39" s="495"/>
      <c r="E39" s="495"/>
    </row>
    <row r="40" spans="2:5" ht="15.75">
      <c r="B40" s="54"/>
      <c r="C40" s="495"/>
      <c r="D40" s="495"/>
      <c r="E40" s="495"/>
    </row>
    <row r="41" spans="2:5" ht="15.75">
      <c r="B41" s="54"/>
      <c r="C41" s="495"/>
      <c r="D41" s="495"/>
      <c r="E41" s="495"/>
    </row>
    <row r="42" spans="2:5" ht="15.75">
      <c r="B42" s="54"/>
      <c r="C42" s="495"/>
      <c r="D42" s="495"/>
      <c r="E42" s="495"/>
    </row>
    <row r="43" spans="2:5" ht="15.75">
      <c r="B43" s="54"/>
      <c r="C43" s="495"/>
      <c r="D43" s="495"/>
      <c r="E43" s="495"/>
    </row>
    <row r="44" spans="2:5" ht="15.75">
      <c r="B44" s="59" t="str">
        <f>CONCATENATE("Cash Forward (",E1," column)")</f>
        <v>Cash Forward (0 column)</v>
      </c>
      <c r="C44" s="495"/>
      <c r="D44" s="495"/>
      <c r="E44" s="495"/>
    </row>
    <row r="45" spans="2:5" ht="15.75">
      <c r="B45" s="59" t="s">
        <v>163</v>
      </c>
      <c r="C45" s="495"/>
      <c r="D45" s="58"/>
      <c r="E45" s="58"/>
    </row>
    <row r="46" spans="2:5" ht="15.75">
      <c r="B46" s="59" t="s">
        <v>644</v>
      </c>
      <c r="C46" s="508">
        <f>IF(C47*0.1&lt;C45,"Exceed 10% Rule","")</f>
      </c>
      <c r="D46" s="60">
        <f>IF(D47*0.1&lt;D45,"Exceed 10% Rule","")</f>
      </c>
      <c r="E46" s="60">
        <f>IF(E47*0.1&lt;E45,"Exceed 10% Rule","")</f>
      </c>
    </row>
    <row r="47" spans="2:5" ht="15.75">
      <c r="B47" s="29" t="s">
        <v>280</v>
      </c>
      <c r="C47" s="51">
        <f>SUM(C22:C45)</f>
        <v>0</v>
      </c>
      <c r="D47" s="51">
        <f>SUM(D22:D45)</f>
        <v>0</v>
      </c>
      <c r="E47" s="51">
        <f>SUM(E22:E45)</f>
        <v>0</v>
      </c>
    </row>
    <row r="48" spans="2:5" ht="15.75">
      <c r="B48" s="11" t="s">
        <v>48</v>
      </c>
      <c r="C48" s="50">
        <f>C20-C47</f>
        <v>0</v>
      </c>
      <c r="D48" s="50">
        <f>D20-D47</f>
        <v>0</v>
      </c>
      <c r="E48" s="50">
        <f>E20-E47</f>
        <v>0</v>
      </c>
    </row>
    <row r="49" spans="2:5" ht="15.75">
      <c r="B49" s="745" t="str">
        <f>CONCATENATE("",E1-2,"/",E1-1,"/",E1," Budget Authority Amount:")</f>
        <v>-2/-1/0 Budget Authority Amount:</v>
      </c>
      <c r="C49" s="744">
        <f>inputOth!B113</f>
        <v>0</v>
      </c>
      <c r="D49" s="744">
        <f>inputPrYr!D59</f>
        <v>0</v>
      </c>
      <c r="E49" s="746">
        <f>E47</f>
        <v>0</v>
      </c>
    </row>
    <row r="50" spans="2:5" ht="15.75">
      <c r="B50" s="7"/>
      <c r="C50" s="309">
        <f>IF(C47&gt;C49,"See Tab A","")</f>
      </c>
      <c r="D50" s="309">
        <f>IF(D47&gt;D49,"See Tab C","")</f>
      </c>
      <c r="E50" s="743">
        <f>IF(E48&lt;0,"See Tab E","")</f>
      </c>
    </row>
    <row r="51" spans="2:5" ht="15.75">
      <c r="B51" s="7"/>
      <c r="C51" s="309">
        <f>IF(C48&lt;0,"See Tab B","")</f>
      </c>
      <c r="D51" s="309">
        <f>IF(D48&lt;0,"See Tab D","")</f>
      </c>
      <c r="E51" s="30"/>
    </row>
    <row r="52" spans="2:5" ht="15">
      <c r="B52" s="30"/>
      <c r="C52" s="30"/>
      <c r="D52" s="30"/>
      <c r="E52" s="30"/>
    </row>
    <row r="53" spans="2:5" ht="15.75">
      <c r="B53" s="161" t="s">
        <v>283</v>
      </c>
      <c r="C53" s="840"/>
      <c r="D53" s="30"/>
      <c r="E53" s="30"/>
    </row>
  </sheetData>
  <sheetProtection sheet="1"/>
  <conditionalFormatting sqref="C17">
    <cfRule type="cellIs" priority="2" dxfId="326" operator="greaterThan" stopIfTrue="1">
      <formula>$C$19*0.1</formula>
    </cfRule>
  </conditionalFormatting>
  <conditionalFormatting sqref="D17">
    <cfRule type="cellIs" priority="3" dxfId="326" operator="greaterThan" stopIfTrue="1">
      <formula>$D$19*0.1</formula>
    </cfRule>
  </conditionalFormatting>
  <conditionalFormatting sqref="E17">
    <cfRule type="cellIs" priority="4" dxfId="326" operator="greaterThan" stopIfTrue="1">
      <formula>$E$19*0.1</formula>
    </cfRule>
  </conditionalFormatting>
  <conditionalFormatting sqref="C45">
    <cfRule type="cellIs" priority="5" dxfId="326" operator="greaterThan" stopIfTrue="1">
      <formula>$C$47*0.1</formula>
    </cfRule>
  </conditionalFormatting>
  <conditionalFormatting sqref="D45">
    <cfRule type="cellIs" priority="6" dxfId="326" operator="greaterThan" stopIfTrue="1">
      <formula>$D$47*0.1</formula>
    </cfRule>
  </conditionalFormatting>
  <conditionalFormatting sqref="E45">
    <cfRule type="cellIs" priority="7" dxfId="326" operator="greaterThan" stopIfTrue="1">
      <formula>$E$47*0.1</formula>
    </cfRule>
  </conditionalFormatting>
  <conditionalFormatting sqref="E48 C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0" sqref="T70"/>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22">
        <f>inputPrYr!$D$3</f>
        <v>0</v>
      </c>
      <c r="B1" s="143"/>
      <c r="C1" s="123"/>
      <c r="D1" s="123"/>
      <c r="E1" s="123"/>
      <c r="F1" s="196" t="s">
        <v>63</v>
      </c>
      <c r="G1" s="123"/>
      <c r="H1" s="123"/>
      <c r="I1" s="123"/>
      <c r="J1" s="123"/>
      <c r="K1" s="123">
        <f>inputPrYr!$C$10</f>
        <v>0</v>
      </c>
    </row>
    <row r="2" spans="1:11" ht="15.75">
      <c r="A2" s="123"/>
      <c r="B2" s="123"/>
      <c r="C2" s="123"/>
      <c r="D2" s="123"/>
      <c r="E2" s="123"/>
      <c r="F2" s="266" t="str">
        <f>CONCATENATE("(Only the actual budget year for ",K1-2," is to be shown)")</f>
        <v>(Only the actual budget year for -2 is to be shown)</v>
      </c>
      <c r="G2" s="123"/>
      <c r="H2" s="123"/>
      <c r="I2" s="123"/>
      <c r="J2" s="123"/>
      <c r="K2" s="123"/>
    </row>
    <row r="3" spans="1:11" ht="15.75">
      <c r="A3" s="123" t="s">
        <v>102</v>
      </c>
      <c r="B3" s="123"/>
      <c r="C3" s="123"/>
      <c r="D3" s="123"/>
      <c r="E3" s="123"/>
      <c r="F3" s="143"/>
      <c r="G3" s="123"/>
      <c r="H3" s="123"/>
      <c r="I3" s="123"/>
      <c r="J3" s="123"/>
      <c r="K3" s="123"/>
    </row>
    <row r="4" spans="1:11" ht="15.75">
      <c r="A4" s="123" t="s">
        <v>64</v>
      </c>
      <c r="B4" s="123"/>
      <c r="C4" s="123" t="s">
        <v>65</v>
      </c>
      <c r="D4" s="123"/>
      <c r="E4" s="123" t="s">
        <v>66</v>
      </c>
      <c r="F4" s="143"/>
      <c r="G4" s="123" t="s">
        <v>67</v>
      </c>
      <c r="H4" s="123"/>
      <c r="I4" s="123" t="s">
        <v>68</v>
      </c>
      <c r="J4" s="123"/>
      <c r="K4" s="123"/>
    </row>
    <row r="5" spans="1:11" ht="15.75">
      <c r="A5" s="1002" t="str">
        <f>IF(inputPrYr!B62&gt;" ",(inputPrYr!B62)," ")</f>
        <v> </v>
      </c>
      <c r="B5" s="1003"/>
      <c r="C5" s="1002" t="str">
        <f>IF(inputPrYr!B63&gt;" ",(inputPrYr!B63)," ")</f>
        <v> </v>
      </c>
      <c r="D5" s="1003"/>
      <c r="E5" s="1002" t="str">
        <f>IF(inputPrYr!B64&gt;" ",(inputPrYr!B64)," ")</f>
        <v> </v>
      </c>
      <c r="F5" s="1003"/>
      <c r="G5" s="1002" t="str">
        <f>IF(inputPrYr!B65&gt;" ",(inputPrYr!B65)," ")</f>
        <v> </v>
      </c>
      <c r="H5" s="1003"/>
      <c r="I5" s="1002" t="str">
        <f>IF(inputPrYr!B66&gt;" ",(inputPrYr!B66)," ")</f>
        <v> </v>
      </c>
      <c r="J5" s="1003"/>
      <c r="K5" s="147"/>
    </row>
    <row r="6" spans="1:11" ht="15.75">
      <c r="A6" s="268" t="s">
        <v>69</v>
      </c>
      <c r="B6" s="269"/>
      <c r="C6" s="270" t="s">
        <v>69</v>
      </c>
      <c r="D6" s="271"/>
      <c r="E6" s="270" t="s">
        <v>69</v>
      </c>
      <c r="F6" s="267"/>
      <c r="G6" s="270" t="s">
        <v>69</v>
      </c>
      <c r="H6" s="272"/>
      <c r="I6" s="270" t="s">
        <v>69</v>
      </c>
      <c r="J6" s="123"/>
      <c r="K6" s="273" t="s">
        <v>241</v>
      </c>
    </row>
    <row r="7" spans="1:11" ht="15.75">
      <c r="A7" s="274" t="s">
        <v>170</v>
      </c>
      <c r="B7" s="275"/>
      <c r="C7" s="276" t="s">
        <v>170</v>
      </c>
      <c r="D7" s="275"/>
      <c r="E7" s="276" t="s">
        <v>170</v>
      </c>
      <c r="F7" s="275"/>
      <c r="G7" s="276" t="s">
        <v>170</v>
      </c>
      <c r="H7" s="275"/>
      <c r="I7" s="276" t="s">
        <v>170</v>
      </c>
      <c r="J7" s="275"/>
      <c r="K7" s="277">
        <f>SUM(B7+D7+F7+H7+J7)</f>
        <v>0</v>
      </c>
    </row>
    <row r="8" spans="1:11" ht="15.75">
      <c r="A8" s="278" t="s">
        <v>49</v>
      </c>
      <c r="B8" s="279"/>
      <c r="C8" s="278" t="s">
        <v>49</v>
      </c>
      <c r="D8" s="280"/>
      <c r="E8" s="278" t="s">
        <v>49</v>
      </c>
      <c r="F8" s="143"/>
      <c r="G8" s="278" t="s">
        <v>49</v>
      </c>
      <c r="H8" s="123"/>
      <c r="I8" s="278" t="s">
        <v>49</v>
      </c>
      <c r="J8" s="123"/>
      <c r="K8" s="143"/>
    </row>
    <row r="9" spans="1:11" ht="15.75">
      <c r="A9" s="281"/>
      <c r="B9" s="275"/>
      <c r="C9" s="281"/>
      <c r="D9" s="275"/>
      <c r="E9" s="281"/>
      <c r="F9" s="275"/>
      <c r="G9" s="281"/>
      <c r="H9" s="275"/>
      <c r="I9" s="281"/>
      <c r="J9" s="275"/>
      <c r="K9" s="143"/>
    </row>
    <row r="10" spans="1:11" ht="15.75">
      <c r="A10" s="281"/>
      <c r="B10" s="275"/>
      <c r="C10" s="281"/>
      <c r="D10" s="275"/>
      <c r="E10" s="281"/>
      <c r="F10" s="275"/>
      <c r="G10" s="281"/>
      <c r="H10" s="275"/>
      <c r="I10" s="281"/>
      <c r="J10" s="275"/>
      <c r="K10" s="143"/>
    </row>
    <row r="11" spans="1:11" ht="15.75">
      <c r="A11" s="281"/>
      <c r="B11" s="275"/>
      <c r="C11" s="282"/>
      <c r="D11" s="275"/>
      <c r="E11" s="283"/>
      <c r="F11" s="275"/>
      <c r="G11" s="283"/>
      <c r="H11" s="275"/>
      <c r="I11" s="284"/>
      <c r="J11" s="275"/>
      <c r="K11" s="143"/>
    </row>
    <row r="12" spans="1:11" ht="15.75">
      <c r="A12" s="281"/>
      <c r="B12" s="275"/>
      <c r="C12" s="281"/>
      <c r="D12" s="275"/>
      <c r="E12" s="285"/>
      <c r="F12" s="275"/>
      <c r="G12" s="285"/>
      <c r="H12" s="275"/>
      <c r="I12" s="285"/>
      <c r="J12" s="275"/>
      <c r="K12" s="143"/>
    </row>
    <row r="13" spans="1:11" ht="15.75">
      <c r="A13" s="286"/>
      <c r="B13" s="275"/>
      <c r="C13" s="287"/>
      <c r="D13" s="275"/>
      <c r="E13" s="287"/>
      <c r="F13" s="275"/>
      <c r="G13" s="287"/>
      <c r="H13" s="275"/>
      <c r="I13" s="284"/>
      <c r="J13" s="275"/>
      <c r="K13" s="143"/>
    </row>
    <row r="14" spans="1:11" ht="15.75">
      <c r="A14" s="281"/>
      <c r="B14" s="275"/>
      <c r="C14" s="285"/>
      <c r="D14" s="275"/>
      <c r="E14" s="285"/>
      <c r="F14" s="275"/>
      <c r="G14" s="285"/>
      <c r="H14" s="275"/>
      <c r="I14" s="285"/>
      <c r="J14" s="275"/>
      <c r="K14" s="143"/>
    </row>
    <row r="15" spans="1:11" ht="15.75">
      <c r="A15" s="281"/>
      <c r="B15" s="275"/>
      <c r="C15" s="285"/>
      <c r="D15" s="275"/>
      <c r="E15" s="285"/>
      <c r="F15" s="275"/>
      <c r="G15" s="285"/>
      <c r="H15" s="275"/>
      <c r="I15" s="285"/>
      <c r="J15" s="275"/>
      <c r="K15" s="143"/>
    </row>
    <row r="16" spans="1:11" ht="15.75">
      <c r="A16" s="281"/>
      <c r="B16" s="275"/>
      <c r="C16" s="281"/>
      <c r="D16" s="275"/>
      <c r="E16" s="281"/>
      <c r="F16" s="275"/>
      <c r="G16" s="285"/>
      <c r="H16" s="275"/>
      <c r="I16" s="281"/>
      <c r="J16" s="275"/>
      <c r="K16" s="143"/>
    </row>
    <row r="17" spans="1:11" ht="15.75">
      <c r="A17" s="278" t="s">
        <v>273</v>
      </c>
      <c r="B17" s="277">
        <f>SUM(B9:B16)</f>
        <v>0</v>
      </c>
      <c r="C17" s="278" t="s">
        <v>273</v>
      </c>
      <c r="D17" s="277">
        <f>SUM(D9:D16)</f>
        <v>0</v>
      </c>
      <c r="E17" s="278" t="s">
        <v>273</v>
      </c>
      <c r="F17" s="389">
        <f>SUM(F9:F16)</f>
        <v>0</v>
      </c>
      <c r="G17" s="278" t="s">
        <v>273</v>
      </c>
      <c r="H17" s="277">
        <f>SUM(H9:H16)</f>
        <v>0</v>
      </c>
      <c r="I17" s="278" t="s">
        <v>273</v>
      </c>
      <c r="J17" s="277">
        <f>SUM(J9:J16)</f>
        <v>0</v>
      </c>
      <c r="K17" s="277">
        <f>SUM(B17+D17+F17+H17+J17)</f>
        <v>0</v>
      </c>
    </row>
    <row r="18" spans="1:11" ht="15.75">
      <c r="A18" s="278" t="s">
        <v>274</v>
      </c>
      <c r="B18" s="277">
        <f>SUM(B7+B17)</f>
        <v>0</v>
      </c>
      <c r="C18" s="278" t="s">
        <v>274</v>
      </c>
      <c r="D18" s="277">
        <f>SUM(D7+D17)</f>
        <v>0</v>
      </c>
      <c r="E18" s="278" t="s">
        <v>274</v>
      </c>
      <c r="F18" s="277">
        <f>SUM(F7+F17)</f>
        <v>0</v>
      </c>
      <c r="G18" s="278" t="s">
        <v>274</v>
      </c>
      <c r="H18" s="277">
        <f>SUM(H7+H17)</f>
        <v>0</v>
      </c>
      <c r="I18" s="278" t="s">
        <v>274</v>
      </c>
      <c r="J18" s="277">
        <f>SUM(J7+J17)</f>
        <v>0</v>
      </c>
      <c r="K18" s="277">
        <f>SUM(B18+D18+F18+H18+J18)</f>
        <v>0</v>
      </c>
    </row>
    <row r="19" spans="1:11" ht="15.75">
      <c r="A19" s="278" t="s">
        <v>276</v>
      </c>
      <c r="B19" s="279"/>
      <c r="C19" s="278" t="s">
        <v>276</v>
      </c>
      <c r="D19" s="280"/>
      <c r="E19" s="278" t="s">
        <v>276</v>
      </c>
      <c r="F19" s="143"/>
      <c r="G19" s="278" t="s">
        <v>276</v>
      </c>
      <c r="H19" s="123"/>
      <c r="I19" s="278" t="s">
        <v>276</v>
      </c>
      <c r="J19" s="123"/>
      <c r="K19" s="143"/>
    </row>
    <row r="20" spans="1:11" ht="15.75">
      <c r="A20" s="281"/>
      <c r="B20" s="275"/>
      <c r="C20" s="285"/>
      <c r="D20" s="275"/>
      <c r="E20" s="285"/>
      <c r="F20" s="275"/>
      <c r="G20" s="285"/>
      <c r="H20" s="275"/>
      <c r="I20" s="285"/>
      <c r="J20" s="275"/>
      <c r="K20" s="143"/>
    </row>
    <row r="21" spans="1:11" ht="15.75">
      <c r="A21" s="281"/>
      <c r="B21" s="275"/>
      <c r="C21" s="285"/>
      <c r="D21" s="275"/>
      <c r="E21" s="285"/>
      <c r="F21" s="275"/>
      <c r="G21" s="285"/>
      <c r="H21" s="275"/>
      <c r="I21" s="285"/>
      <c r="J21" s="275"/>
      <c r="K21" s="143"/>
    </row>
    <row r="22" spans="1:11" ht="15.75">
      <c r="A22" s="281"/>
      <c r="B22" s="275"/>
      <c r="C22" s="287"/>
      <c r="D22" s="275"/>
      <c r="E22" s="287"/>
      <c r="F22" s="275"/>
      <c r="G22" s="287"/>
      <c r="H22" s="275"/>
      <c r="I22" s="284"/>
      <c r="J22" s="275"/>
      <c r="K22" s="143"/>
    </row>
    <row r="23" spans="1:11" ht="15.75">
      <c r="A23" s="281"/>
      <c r="B23" s="275"/>
      <c r="C23" s="285"/>
      <c r="D23" s="275"/>
      <c r="E23" s="285"/>
      <c r="F23" s="275"/>
      <c r="G23" s="285"/>
      <c r="H23" s="275"/>
      <c r="I23" s="285"/>
      <c r="J23" s="275"/>
      <c r="K23" s="143"/>
    </row>
    <row r="24" spans="1:11" ht="15.75">
      <c r="A24" s="281"/>
      <c r="B24" s="275"/>
      <c r="C24" s="287"/>
      <c r="D24" s="275"/>
      <c r="E24" s="287"/>
      <c r="F24" s="275"/>
      <c r="G24" s="287"/>
      <c r="H24" s="275"/>
      <c r="I24" s="284"/>
      <c r="J24" s="275"/>
      <c r="K24" s="143"/>
    </row>
    <row r="25" spans="1:11" ht="15.75">
      <c r="A25" s="281"/>
      <c r="B25" s="275"/>
      <c r="C25" s="285"/>
      <c r="D25" s="275"/>
      <c r="E25" s="285"/>
      <c r="F25" s="275"/>
      <c r="G25" s="285"/>
      <c r="H25" s="275"/>
      <c r="I25" s="285"/>
      <c r="J25" s="275"/>
      <c r="K25" s="143"/>
    </row>
    <row r="26" spans="1:11" ht="15.75">
      <c r="A26" s="281"/>
      <c r="B26" s="275"/>
      <c r="C26" s="285"/>
      <c r="D26" s="275"/>
      <c r="E26" s="285"/>
      <c r="F26" s="275"/>
      <c r="G26" s="285"/>
      <c r="H26" s="275"/>
      <c r="I26" s="285"/>
      <c r="J26" s="275"/>
      <c r="K26" s="143"/>
    </row>
    <row r="27" spans="1:11" ht="15.75">
      <c r="A27" s="281"/>
      <c r="B27" s="275"/>
      <c r="C27" s="281"/>
      <c r="D27" s="275"/>
      <c r="E27" s="281"/>
      <c r="F27" s="275"/>
      <c r="G27" s="285"/>
      <c r="H27" s="275"/>
      <c r="I27" s="285"/>
      <c r="J27" s="275"/>
      <c r="K27" s="143"/>
    </row>
    <row r="28" spans="1:11" ht="15.75">
      <c r="A28" s="278" t="s">
        <v>280</v>
      </c>
      <c r="B28" s="277">
        <f>SUM(B20:B27)</f>
        <v>0</v>
      </c>
      <c r="C28" s="278" t="s">
        <v>280</v>
      </c>
      <c r="D28" s="277">
        <f>SUM(D20:D27)</f>
        <v>0</v>
      </c>
      <c r="E28" s="278" t="s">
        <v>280</v>
      </c>
      <c r="F28" s="389">
        <f>SUM(F20:F27)</f>
        <v>0</v>
      </c>
      <c r="G28" s="278" t="s">
        <v>280</v>
      </c>
      <c r="H28" s="389">
        <f>SUM(H20:H27)</f>
        <v>0</v>
      </c>
      <c r="I28" s="278" t="s">
        <v>280</v>
      </c>
      <c r="J28" s="277">
        <f>SUM(J20:J27)</f>
        <v>0</v>
      </c>
      <c r="K28" s="277">
        <f>SUM(B28+D28+F28+H28+J28)</f>
        <v>0</v>
      </c>
    </row>
    <row r="29" spans="1:12" ht="15.75">
      <c r="A29" s="278" t="s">
        <v>70</v>
      </c>
      <c r="B29" s="277">
        <f>SUM(B18-B28)</f>
        <v>0</v>
      </c>
      <c r="C29" s="278" t="s">
        <v>70</v>
      </c>
      <c r="D29" s="277">
        <f>SUM(D18-D28)</f>
        <v>0</v>
      </c>
      <c r="E29" s="278" t="s">
        <v>70</v>
      </c>
      <c r="F29" s="277">
        <f>SUM(F18-F28)</f>
        <v>0</v>
      </c>
      <c r="G29" s="278" t="s">
        <v>70</v>
      </c>
      <c r="H29" s="277">
        <f>SUM(H18-H28)</f>
        <v>0</v>
      </c>
      <c r="I29" s="278" t="s">
        <v>70</v>
      </c>
      <c r="J29" s="277">
        <f>SUM(J18-J28)</f>
        <v>0</v>
      </c>
      <c r="K29" s="288">
        <f>SUM(B29+D29+F29+H29+J29)</f>
        <v>0</v>
      </c>
      <c r="L29" s="65" t="s">
        <v>133</v>
      </c>
    </row>
    <row r="30" spans="1:12" ht="15.75">
      <c r="A30" s="278"/>
      <c r="B30" s="289">
        <f>IF(B29&lt;0,"See Tab B","")</f>
      </c>
      <c r="C30" s="278"/>
      <c r="D30" s="289">
        <f>IF(D29&lt;0,"See Tab B","")</f>
      </c>
      <c r="E30" s="278"/>
      <c r="F30" s="289">
        <f>IF(F29&lt;0,"See Tab B","")</f>
      </c>
      <c r="G30" s="123"/>
      <c r="H30" s="289">
        <f>IF(H29&lt;0,"See Tab B","")</f>
      </c>
      <c r="I30" s="123"/>
      <c r="J30" s="289">
        <f>IF(J29&lt;0,"See Tab B","")</f>
      </c>
      <c r="K30" s="288">
        <f>SUM(K7+K17-K28)</f>
        <v>0</v>
      </c>
      <c r="L30" s="65" t="s">
        <v>133</v>
      </c>
    </row>
    <row r="31" spans="1:11" ht="15.75">
      <c r="A31" s="123"/>
      <c r="B31" s="199"/>
      <c r="C31" s="123"/>
      <c r="D31" s="143"/>
      <c r="E31" s="123"/>
      <c r="F31" s="123"/>
      <c r="G31" s="75" t="s">
        <v>135</v>
      </c>
      <c r="H31" s="75"/>
      <c r="I31" s="75"/>
      <c r="J31" s="75"/>
      <c r="K31" s="123"/>
    </row>
    <row r="32" spans="1:11" ht="15.75">
      <c r="A32" s="123"/>
      <c r="B32" s="199"/>
      <c r="C32" s="123"/>
      <c r="D32" s="123"/>
      <c r="E32" s="123"/>
      <c r="F32" s="123"/>
      <c r="G32" s="123"/>
      <c r="H32" s="123"/>
      <c r="I32" s="123"/>
      <c r="J32" s="123"/>
      <c r="K32" s="123"/>
    </row>
    <row r="33" spans="1:11" ht="15.75">
      <c r="A33" s="123"/>
      <c r="B33" s="199"/>
      <c r="C33" s="123"/>
      <c r="D33" s="123"/>
      <c r="E33" s="204" t="s">
        <v>283</v>
      </c>
      <c r="F33" s="839"/>
      <c r="G33" s="123"/>
      <c r="H33" s="123"/>
      <c r="I33" s="123"/>
      <c r="J33" s="123"/>
      <c r="K33" s="123"/>
    </row>
    <row r="34" ht="15.75">
      <c r="B34" s="290"/>
    </row>
    <row r="35" ht="15.75">
      <c r="B35" s="290"/>
    </row>
    <row r="36" ht="15.75">
      <c r="B36" s="290"/>
    </row>
    <row r="37" ht="15.75">
      <c r="B37" s="290"/>
    </row>
    <row r="38" ht="15.75">
      <c r="B38" s="290"/>
    </row>
    <row r="39" ht="15.75">
      <c r="B39" s="290"/>
    </row>
    <row r="40" ht="15.75">
      <c r="B40" s="290"/>
    </row>
    <row r="41" ht="15.75">
      <c r="B41" s="2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7" sqref="T77"/>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22">
        <f>inputPrYr!$D$3</f>
        <v>0</v>
      </c>
      <c r="B1" s="143"/>
      <c r="C1" s="123"/>
      <c r="D1" s="123"/>
      <c r="E1" s="123"/>
      <c r="F1" s="196" t="s">
        <v>71</v>
      </c>
      <c r="G1" s="123"/>
      <c r="H1" s="123"/>
      <c r="I1" s="123"/>
      <c r="J1" s="123"/>
      <c r="K1" s="123">
        <f>inputPrYr!$C$10</f>
        <v>0</v>
      </c>
    </row>
    <row r="2" spans="1:11" ht="15.75">
      <c r="A2" s="123"/>
      <c r="B2" s="123"/>
      <c r="C2" s="123"/>
      <c r="D2" s="123"/>
      <c r="E2" s="123"/>
      <c r="F2" s="266" t="str">
        <f>CONCATENATE("(Only the actual budget year for ",K1-2," is to be shown)")</f>
        <v>(Only the actual budget year for -2 is to be shown)</v>
      </c>
      <c r="G2" s="123"/>
      <c r="H2" s="123"/>
      <c r="I2" s="123"/>
      <c r="J2" s="123"/>
      <c r="K2" s="123"/>
    </row>
    <row r="3" spans="1:11" ht="15.75">
      <c r="A3" s="123" t="s">
        <v>101</v>
      </c>
      <c r="B3" s="123"/>
      <c r="C3" s="123"/>
      <c r="D3" s="123"/>
      <c r="E3" s="123"/>
      <c r="F3" s="143"/>
      <c r="G3" s="123"/>
      <c r="H3" s="123"/>
      <c r="I3" s="123"/>
      <c r="J3" s="123"/>
      <c r="K3" s="123"/>
    </row>
    <row r="4" spans="1:11" ht="15.75">
      <c r="A4" s="123" t="s">
        <v>64</v>
      </c>
      <c r="B4" s="123"/>
      <c r="C4" s="123" t="s">
        <v>65</v>
      </c>
      <c r="D4" s="123"/>
      <c r="E4" s="123" t="s">
        <v>66</v>
      </c>
      <c r="F4" s="143"/>
      <c r="G4" s="123" t="s">
        <v>67</v>
      </c>
      <c r="H4" s="123"/>
      <c r="I4" s="123" t="s">
        <v>68</v>
      </c>
      <c r="J4" s="123"/>
      <c r="K4" s="123"/>
    </row>
    <row r="5" spans="1:11" ht="15.75">
      <c r="A5" s="1002" t="str">
        <f>IF(inputPrYr!B68&gt;" ",(inputPrYr!B68)," ")</f>
        <v> </v>
      </c>
      <c r="B5" s="1003"/>
      <c r="C5" s="1002" t="str">
        <f>IF(inputPrYr!B69&gt;" ",(inputPrYr!B69)," ")</f>
        <v> </v>
      </c>
      <c r="D5" s="1003"/>
      <c r="E5" s="1002" t="str">
        <f>IF(inputPrYr!B70&gt;" ",(inputPrYr!B70)," ")</f>
        <v> </v>
      </c>
      <c r="F5" s="1003"/>
      <c r="G5" s="1002" t="str">
        <f>IF(inputPrYr!B71&gt;" ",(inputPrYr!B71)," ")</f>
        <v> </v>
      </c>
      <c r="H5" s="1003"/>
      <c r="I5" s="1002" t="str">
        <f>IF(inputPrYr!B72&gt;" ",(inputPrYr!B72)," ")</f>
        <v> </v>
      </c>
      <c r="J5" s="1003"/>
      <c r="K5" s="147"/>
    </row>
    <row r="6" spans="1:11" ht="15.75">
      <c r="A6" s="268" t="s">
        <v>69</v>
      </c>
      <c r="B6" s="269"/>
      <c r="C6" s="270" t="s">
        <v>69</v>
      </c>
      <c r="D6" s="271"/>
      <c r="E6" s="270" t="s">
        <v>69</v>
      </c>
      <c r="F6" s="267"/>
      <c r="G6" s="270" t="s">
        <v>69</v>
      </c>
      <c r="H6" s="272"/>
      <c r="I6" s="270" t="s">
        <v>69</v>
      </c>
      <c r="J6" s="123"/>
      <c r="K6" s="273" t="s">
        <v>241</v>
      </c>
    </row>
    <row r="7" spans="1:11" ht="15.75">
      <c r="A7" s="274" t="s">
        <v>170</v>
      </c>
      <c r="B7" s="275"/>
      <c r="C7" s="276" t="s">
        <v>170</v>
      </c>
      <c r="D7" s="275"/>
      <c r="E7" s="276" t="s">
        <v>170</v>
      </c>
      <c r="F7" s="275"/>
      <c r="G7" s="276" t="s">
        <v>170</v>
      </c>
      <c r="H7" s="275"/>
      <c r="I7" s="276" t="s">
        <v>170</v>
      </c>
      <c r="J7" s="275"/>
      <c r="K7" s="277">
        <f>SUM(B7+D7+F7+H7+J7)</f>
        <v>0</v>
      </c>
    </row>
    <row r="8" spans="1:11" ht="15.75">
      <c r="A8" s="278" t="s">
        <v>49</v>
      </c>
      <c r="B8" s="279"/>
      <c r="C8" s="278" t="s">
        <v>49</v>
      </c>
      <c r="D8" s="280"/>
      <c r="E8" s="278" t="s">
        <v>49</v>
      </c>
      <c r="F8" s="143"/>
      <c r="G8" s="278" t="s">
        <v>49</v>
      </c>
      <c r="H8" s="123"/>
      <c r="I8" s="278" t="s">
        <v>49</v>
      </c>
      <c r="J8" s="123"/>
      <c r="K8" s="143"/>
    </row>
    <row r="9" spans="1:11" ht="15.75">
      <c r="A9" s="281"/>
      <c r="B9" s="275"/>
      <c r="C9" s="281"/>
      <c r="D9" s="275"/>
      <c r="E9" s="281"/>
      <c r="F9" s="275"/>
      <c r="G9" s="281"/>
      <c r="H9" s="275"/>
      <c r="I9" s="281"/>
      <c r="J9" s="275"/>
      <c r="K9" s="143"/>
    </row>
    <row r="10" spans="1:11" ht="15.75">
      <c r="A10" s="281"/>
      <c r="B10" s="275"/>
      <c r="C10" s="281"/>
      <c r="D10" s="275"/>
      <c r="E10" s="281"/>
      <c r="F10" s="275"/>
      <c r="G10" s="281"/>
      <c r="H10" s="275"/>
      <c r="I10" s="281"/>
      <c r="J10" s="275"/>
      <c r="K10" s="143"/>
    </row>
    <row r="11" spans="1:11" ht="15.75">
      <c r="A11" s="281"/>
      <c r="B11" s="275"/>
      <c r="C11" s="283"/>
      <c r="D11" s="275"/>
      <c r="E11" s="283"/>
      <c r="F11" s="275"/>
      <c r="G11" s="283"/>
      <c r="H11" s="275"/>
      <c r="I11" s="284"/>
      <c r="J11" s="275"/>
      <c r="K11" s="143"/>
    </row>
    <row r="12" spans="1:11" ht="15.75">
      <c r="A12" s="281"/>
      <c r="B12" s="275"/>
      <c r="C12" s="281"/>
      <c r="D12" s="275"/>
      <c r="E12" s="285"/>
      <c r="F12" s="275"/>
      <c r="G12" s="285"/>
      <c r="H12" s="275"/>
      <c r="I12" s="285"/>
      <c r="J12" s="275"/>
      <c r="K12" s="143"/>
    </row>
    <row r="13" spans="1:11" ht="15.75">
      <c r="A13" s="286"/>
      <c r="B13" s="275"/>
      <c r="C13" s="287"/>
      <c r="D13" s="275"/>
      <c r="E13" s="287"/>
      <c r="F13" s="275"/>
      <c r="G13" s="287"/>
      <c r="H13" s="275"/>
      <c r="I13" s="284"/>
      <c r="J13" s="275"/>
      <c r="K13" s="143"/>
    </row>
    <row r="14" spans="1:11" ht="15.75">
      <c r="A14" s="281"/>
      <c r="B14" s="275"/>
      <c r="C14" s="285"/>
      <c r="D14" s="275"/>
      <c r="E14" s="285"/>
      <c r="F14" s="275"/>
      <c r="G14" s="285"/>
      <c r="H14" s="275"/>
      <c r="I14" s="285"/>
      <c r="J14" s="275"/>
      <c r="K14" s="143"/>
    </row>
    <row r="15" spans="1:11" ht="15.75">
      <c r="A15" s="281"/>
      <c r="B15" s="275"/>
      <c r="C15" s="285"/>
      <c r="D15" s="275"/>
      <c r="E15" s="285"/>
      <c r="F15" s="275"/>
      <c r="G15" s="285"/>
      <c r="H15" s="275"/>
      <c r="I15" s="285"/>
      <c r="J15" s="275"/>
      <c r="K15" s="143"/>
    </row>
    <row r="16" spans="1:11" ht="15.75">
      <c r="A16" s="281"/>
      <c r="B16" s="275"/>
      <c r="C16" s="281"/>
      <c r="D16" s="275"/>
      <c r="E16" s="281"/>
      <c r="F16" s="275"/>
      <c r="G16" s="285"/>
      <c r="H16" s="275"/>
      <c r="I16" s="281"/>
      <c r="J16" s="275"/>
      <c r="K16" s="143"/>
    </row>
    <row r="17" spans="1:11" ht="15.75">
      <c r="A17" s="278" t="s">
        <v>273</v>
      </c>
      <c r="B17" s="277">
        <f>SUM(B9:B16)</f>
        <v>0</v>
      </c>
      <c r="C17" s="278" t="s">
        <v>273</v>
      </c>
      <c r="D17" s="277">
        <f>SUM(D9:D16)</f>
        <v>0</v>
      </c>
      <c r="E17" s="278" t="s">
        <v>273</v>
      </c>
      <c r="F17" s="389">
        <f>SUM(F9:F16)</f>
        <v>0</v>
      </c>
      <c r="G17" s="278" t="s">
        <v>273</v>
      </c>
      <c r="H17" s="277">
        <f>SUM(H9:H16)</f>
        <v>0</v>
      </c>
      <c r="I17" s="278" t="s">
        <v>273</v>
      </c>
      <c r="J17" s="277">
        <f>SUM(J9:J16)</f>
        <v>0</v>
      </c>
      <c r="K17" s="277">
        <f>SUM(B17+D17+F17+H17+J17)</f>
        <v>0</v>
      </c>
    </row>
    <row r="18" spans="1:11" ht="15.75">
      <c r="A18" s="278" t="s">
        <v>274</v>
      </c>
      <c r="B18" s="277">
        <f>SUM(B7+B17)</f>
        <v>0</v>
      </c>
      <c r="C18" s="278" t="s">
        <v>274</v>
      </c>
      <c r="D18" s="277">
        <f>SUM(D7+D17)</f>
        <v>0</v>
      </c>
      <c r="E18" s="278" t="s">
        <v>274</v>
      </c>
      <c r="F18" s="277">
        <f>SUM(F7+F17)</f>
        <v>0</v>
      </c>
      <c r="G18" s="278" t="s">
        <v>274</v>
      </c>
      <c r="H18" s="277">
        <f>SUM(H7+H17)</f>
        <v>0</v>
      </c>
      <c r="I18" s="278" t="s">
        <v>274</v>
      </c>
      <c r="J18" s="277">
        <f>SUM(J7+J17)</f>
        <v>0</v>
      </c>
      <c r="K18" s="277">
        <f>SUM(B18+D18+F18+H18+J18)</f>
        <v>0</v>
      </c>
    </row>
    <row r="19" spans="1:11" ht="15.75">
      <c r="A19" s="278" t="s">
        <v>276</v>
      </c>
      <c r="B19" s="279"/>
      <c r="C19" s="278" t="s">
        <v>276</v>
      </c>
      <c r="D19" s="280"/>
      <c r="E19" s="278" t="s">
        <v>276</v>
      </c>
      <c r="F19" s="143"/>
      <c r="G19" s="278" t="s">
        <v>276</v>
      </c>
      <c r="H19" s="123"/>
      <c r="I19" s="278" t="s">
        <v>276</v>
      </c>
      <c r="J19" s="123"/>
      <c r="K19" s="143"/>
    </row>
    <row r="20" spans="1:11" ht="15.75">
      <c r="A20" s="281"/>
      <c r="B20" s="275"/>
      <c r="C20" s="285"/>
      <c r="D20" s="275"/>
      <c r="E20" s="285"/>
      <c r="F20" s="275"/>
      <c r="G20" s="285"/>
      <c r="H20" s="275"/>
      <c r="I20" s="285"/>
      <c r="J20" s="275"/>
      <c r="K20" s="143"/>
    </row>
    <row r="21" spans="1:11" ht="15.75">
      <c r="A21" s="281"/>
      <c r="B21" s="275"/>
      <c r="C21" s="285"/>
      <c r="D21" s="275"/>
      <c r="E21" s="285"/>
      <c r="F21" s="275"/>
      <c r="G21" s="285"/>
      <c r="H21" s="275"/>
      <c r="I21" s="285"/>
      <c r="J21" s="275"/>
      <c r="K21" s="143"/>
    </row>
    <row r="22" spans="1:11" ht="15.75">
      <c r="A22" s="281"/>
      <c r="B22" s="275"/>
      <c r="C22" s="287"/>
      <c r="D22" s="275"/>
      <c r="E22" s="287"/>
      <c r="F22" s="275"/>
      <c r="G22" s="287"/>
      <c r="H22" s="275"/>
      <c r="I22" s="284"/>
      <c r="J22" s="275"/>
      <c r="K22" s="143"/>
    </row>
    <row r="23" spans="1:11" ht="15.75">
      <c r="A23" s="281"/>
      <c r="B23" s="275"/>
      <c r="C23" s="285"/>
      <c r="D23" s="275"/>
      <c r="E23" s="285"/>
      <c r="F23" s="275"/>
      <c r="G23" s="285"/>
      <c r="H23" s="275"/>
      <c r="I23" s="285"/>
      <c r="J23" s="275"/>
      <c r="K23" s="143"/>
    </row>
    <row r="24" spans="1:11" ht="15.75">
      <c r="A24" s="281"/>
      <c r="B24" s="275"/>
      <c r="C24" s="287"/>
      <c r="D24" s="275"/>
      <c r="E24" s="287"/>
      <c r="F24" s="275"/>
      <c r="G24" s="287"/>
      <c r="H24" s="275"/>
      <c r="I24" s="284"/>
      <c r="J24" s="275"/>
      <c r="K24" s="143"/>
    </row>
    <row r="25" spans="1:11" ht="15.75">
      <c r="A25" s="281"/>
      <c r="B25" s="275"/>
      <c r="C25" s="285"/>
      <c r="D25" s="275"/>
      <c r="E25" s="285"/>
      <c r="F25" s="275"/>
      <c r="G25" s="285"/>
      <c r="H25" s="275"/>
      <c r="I25" s="285"/>
      <c r="J25" s="275"/>
      <c r="K25" s="143"/>
    </row>
    <row r="26" spans="1:11" ht="15.75">
      <c r="A26" s="281"/>
      <c r="B26" s="275"/>
      <c r="C26" s="285"/>
      <c r="D26" s="275"/>
      <c r="E26" s="285"/>
      <c r="F26" s="275"/>
      <c r="G26" s="285"/>
      <c r="H26" s="275"/>
      <c r="I26" s="285"/>
      <c r="J26" s="275"/>
      <c r="K26" s="143"/>
    </row>
    <row r="27" spans="1:11" ht="15.75">
      <c r="A27" s="281"/>
      <c r="B27" s="275"/>
      <c r="C27" s="281"/>
      <c r="D27" s="275"/>
      <c r="E27" s="281"/>
      <c r="F27" s="275"/>
      <c r="G27" s="285"/>
      <c r="H27" s="275"/>
      <c r="I27" s="285"/>
      <c r="J27" s="275"/>
      <c r="K27" s="143"/>
    </row>
    <row r="28" spans="1:11" ht="15.75">
      <c r="A28" s="278" t="s">
        <v>280</v>
      </c>
      <c r="B28" s="277">
        <f>SUM(B20:B27)</f>
        <v>0</v>
      </c>
      <c r="C28" s="278" t="s">
        <v>280</v>
      </c>
      <c r="D28" s="277">
        <f>SUM(D20:D27)</f>
        <v>0</v>
      </c>
      <c r="E28" s="278" t="s">
        <v>280</v>
      </c>
      <c r="F28" s="389">
        <f>SUM(F20:F27)</f>
        <v>0</v>
      </c>
      <c r="G28" s="278" t="s">
        <v>280</v>
      </c>
      <c r="H28" s="389">
        <f>SUM(H20:H27)</f>
        <v>0</v>
      </c>
      <c r="I28" s="278" t="s">
        <v>280</v>
      </c>
      <c r="J28" s="277">
        <f>SUM(J20:J27)</f>
        <v>0</v>
      </c>
      <c r="K28" s="277">
        <f>SUM(B28+D28+F28+H28+J28)</f>
        <v>0</v>
      </c>
    </row>
    <row r="29" spans="1:12" ht="15.75">
      <c r="A29" s="278" t="s">
        <v>70</v>
      </c>
      <c r="B29" s="277">
        <f>SUM(B18-B28)</f>
        <v>0</v>
      </c>
      <c r="C29" s="278" t="s">
        <v>70</v>
      </c>
      <c r="D29" s="277">
        <f>SUM(D18-D28)</f>
        <v>0</v>
      </c>
      <c r="E29" s="278" t="s">
        <v>70</v>
      </c>
      <c r="F29" s="277">
        <f>SUM(F18-F28)</f>
        <v>0</v>
      </c>
      <c r="G29" s="278" t="s">
        <v>70</v>
      </c>
      <c r="H29" s="277">
        <f>SUM(H18-H28)</f>
        <v>0</v>
      </c>
      <c r="I29" s="278" t="s">
        <v>70</v>
      </c>
      <c r="J29" s="277">
        <f>SUM(J18-J28)</f>
        <v>0</v>
      </c>
      <c r="K29" s="288">
        <f>SUM(B29+D29+F29+H29+J29)</f>
        <v>0</v>
      </c>
      <c r="L29" s="65" t="s">
        <v>133</v>
      </c>
    </row>
    <row r="30" spans="1:12" ht="15.75">
      <c r="A30" s="278"/>
      <c r="B30" s="289">
        <f>IF(B29&lt;0,"See Tab B","")</f>
      </c>
      <c r="C30" s="278"/>
      <c r="D30" s="289">
        <f>IF(D29&lt;0,"See Tab B","")</f>
      </c>
      <c r="E30" s="278"/>
      <c r="F30" s="289">
        <f>IF(F29&lt;0,"See Tab B","")</f>
      </c>
      <c r="G30" s="123"/>
      <c r="H30" s="289">
        <f>IF(H29&lt;0,"See Tab B","")</f>
      </c>
      <c r="I30" s="123"/>
      <c r="J30" s="289">
        <f>IF(J29&lt;0,"See Tab B","")</f>
      </c>
      <c r="K30" s="288">
        <f>SUM(K7+K17-K28)</f>
        <v>0</v>
      </c>
      <c r="L30" s="65" t="s">
        <v>133</v>
      </c>
    </row>
    <row r="31" spans="1:11" ht="15.75">
      <c r="A31" s="123"/>
      <c r="B31" s="199"/>
      <c r="C31" s="123"/>
      <c r="D31" s="143"/>
      <c r="E31" s="123"/>
      <c r="F31" s="123"/>
      <c r="G31" s="75" t="s">
        <v>135</v>
      </c>
      <c r="H31" s="75"/>
      <c r="I31" s="75"/>
      <c r="J31" s="75"/>
      <c r="K31" s="123"/>
    </row>
    <row r="32" spans="1:11" ht="15.75">
      <c r="A32" s="123"/>
      <c r="B32" s="199"/>
      <c r="C32" s="123"/>
      <c r="D32" s="123"/>
      <c r="E32" s="123"/>
      <c r="F32" s="123"/>
      <c r="G32" s="123"/>
      <c r="H32" s="123"/>
      <c r="I32" s="123"/>
      <c r="J32" s="123"/>
      <c r="K32" s="123"/>
    </row>
    <row r="33" spans="1:11" ht="15.75">
      <c r="A33" s="123"/>
      <c r="B33" s="199"/>
      <c r="C33" s="123"/>
      <c r="D33" s="123"/>
      <c r="E33" s="204" t="s">
        <v>283</v>
      </c>
      <c r="F33" s="839"/>
      <c r="G33" s="123"/>
      <c r="H33" s="123"/>
      <c r="I33" s="123"/>
      <c r="J33" s="123"/>
      <c r="K33" s="123"/>
    </row>
    <row r="34" ht="15.75">
      <c r="B34" s="290"/>
    </row>
    <row r="35" ht="15.75">
      <c r="B35" s="290"/>
    </row>
    <row r="36" ht="15.75">
      <c r="B36" s="290"/>
    </row>
    <row r="37" ht="15.75">
      <c r="B37" s="290"/>
    </row>
    <row r="38" ht="15.75">
      <c r="B38" s="290"/>
    </row>
    <row r="39" ht="15.75">
      <c r="B39" s="290"/>
    </row>
    <row r="40" ht="15.75">
      <c r="B40" s="290"/>
    </row>
    <row r="41" ht="15.75">
      <c r="B41" s="2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5" sqref="T85"/>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22">
        <f>inputPrYr!$D$3</f>
        <v>0</v>
      </c>
      <c r="B1" s="143"/>
      <c r="C1" s="123"/>
      <c r="D1" s="123"/>
      <c r="E1" s="123"/>
      <c r="F1" s="196" t="s">
        <v>72</v>
      </c>
      <c r="G1" s="123"/>
      <c r="H1" s="123"/>
      <c r="I1" s="123"/>
      <c r="J1" s="123"/>
      <c r="K1" s="123">
        <f>inputPrYr!$C$10</f>
        <v>0</v>
      </c>
    </row>
    <row r="2" spans="1:11" ht="15.75">
      <c r="A2" s="123"/>
      <c r="B2" s="123"/>
      <c r="C2" s="123"/>
      <c r="D2" s="123"/>
      <c r="E2" s="123"/>
      <c r="F2" s="266" t="str">
        <f>CONCATENATE("(Only the actual budget year for ",K1-2," is to be shown)")</f>
        <v>(Only the actual budget year for -2 is to be shown)</v>
      </c>
      <c r="G2" s="123"/>
      <c r="H2" s="123"/>
      <c r="I2" s="123"/>
      <c r="J2" s="123"/>
      <c r="K2" s="123"/>
    </row>
    <row r="3" spans="1:11" ht="15.75">
      <c r="A3" s="123" t="s">
        <v>99</v>
      </c>
      <c r="B3" s="123"/>
      <c r="C3" s="123"/>
      <c r="D3" s="123"/>
      <c r="E3" s="123"/>
      <c r="F3" s="143"/>
      <c r="G3" s="123"/>
      <c r="H3" s="123"/>
      <c r="I3" s="123"/>
      <c r="J3" s="123"/>
      <c r="K3" s="123"/>
    </row>
    <row r="4" spans="1:11" ht="15.75">
      <c r="A4" s="123" t="s">
        <v>64</v>
      </c>
      <c r="B4" s="123"/>
      <c r="C4" s="123" t="s">
        <v>65</v>
      </c>
      <c r="D4" s="123"/>
      <c r="E4" s="123" t="s">
        <v>66</v>
      </c>
      <c r="F4" s="143"/>
      <c r="G4" s="123" t="s">
        <v>67</v>
      </c>
      <c r="H4" s="123"/>
      <c r="I4" s="123" t="s">
        <v>68</v>
      </c>
      <c r="J4" s="123"/>
      <c r="K4" s="123"/>
    </row>
    <row r="5" spans="1:11" ht="15.75">
      <c r="A5" s="1002" t="str">
        <f>IF(inputPrYr!B74&gt;" ",(inputPrYr!B74)," ")</f>
        <v> </v>
      </c>
      <c r="B5" s="1003"/>
      <c r="C5" s="1002" t="str">
        <f>IF(inputPrYr!B75&gt;" ",(inputPrYr!B75)," ")</f>
        <v> </v>
      </c>
      <c r="D5" s="1003"/>
      <c r="E5" s="1002" t="str">
        <f>IF(inputPrYr!B76&gt;" ",(inputPrYr!B76)," ")</f>
        <v> </v>
      </c>
      <c r="F5" s="1003"/>
      <c r="G5" s="1002" t="str">
        <f>IF(inputPrYr!B77&gt;" ",(inputPrYr!B77)," ")</f>
        <v> </v>
      </c>
      <c r="H5" s="1003"/>
      <c r="I5" s="1002" t="str">
        <f>IF(inputPrYr!B78&gt;" ",(inputPrYr!B78)," ")</f>
        <v> </v>
      </c>
      <c r="J5" s="1003"/>
      <c r="K5" s="147"/>
    </row>
    <row r="6" spans="1:11" ht="15.75">
      <c r="A6" s="268" t="s">
        <v>69</v>
      </c>
      <c r="B6" s="269"/>
      <c r="C6" s="270" t="s">
        <v>69</v>
      </c>
      <c r="D6" s="271"/>
      <c r="E6" s="270" t="s">
        <v>69</v>
      </c>
      <c r="F6" s="267"/>
      <c r="G6" s="270" t="s">
        <v>69</v>
      </c>
      <c r="H6" s="272"/>
      <c r="I6" s="270" t="s">
        <v>69</v>
      </c>
      <c r="J6" s="123"/>
      <c r="K6" s="273" t="s">
        <v>241</v>
      </c>
    </row>
    <row r="7" spans="1:11" ht="15.75">
      <c r="A7" s="274" t="s">
        <v>170</v>
      </c>
      <c r="B7" s="275"/>
      <c r="C7" s="276" t="s">
        <v>170</v>
      </c>
      <c r="D7" s="275"/>
      <c r="E7" s="276" t="s">
        <v>170</v>
      </c>
      <c r="F7" s="275"/>
      <c r="G7" s="276" t="s">
        <v>170</v>
      </c>
      <c r="H7" s="275"/>
      <c r="I7" s="276" t="s">
        <v>170</v>
      </c>
      <c r="J7" s="275"/>
      <c r="K7" s="277">
        <f>SUM(B7+D7+F7+H7+J7)</f>
        <v>0</v>
      </c>
    </row>
    <row r="8" spans="1:11" ht="15.75">
      <c r="A8" s="278" t="s">
        <v>49</v>
      </c>
      <c r="B8" s="279"/>
      <c r="C8" s="278" t="s">
        <v>49</v>
      </c>
      <c r="D8" s="280"/>
      <c r="E8" s="278" t="s">
        <v>49</v>
      </c>
      <c r="F8" s="143"/>
      <c r="G8" s="278" t="s">
        <v>49</v>
      </c>
      <c r="H8" s="123"/>
      <c r="I8" s="278" t="s">
        <v>49</v>
      </c>
      <c r="J8" s="123"/>
      <c r="K8" s="143"/>
    </row>
    <row r="9" spans="1:11" ht="15.75">
      <c r="A9" s="281"/>
      <c r="B9" s="275"/>
      <c r="C9" s="281"/>
      <c r="D9" s="275"/>
      <c r="E9" s="281"/>
      <c r="F9" s="275"/>
      <c r="G9" s="281"/>
      <c r="H9" s="275"/>
      <c r="I9" s="281"/>
      <c r="J9" s="275"/>
      <c r="K9" s="143"/>
    </row>
    <row r="10" spans="1:11" ht="15.75">
      <c r="A10" s="281"/>
      <c r="B10" s="275"/>
      <c r="C10" s="281"/>
      <c r="D10" s="275"/>
      <c r="E10" s="281"/>
      <c r="F10" s="275"/>
      <c r="G10" s="281"/>
      <c r="H10" s="275"/>
      <c r="I10" s="281"/>
      <c r="J10" s="275"/>
      <c r="K10" s="143"/>
    </row>
    <row r="11" spans="1:11" ht="15.75">
      <c r="A11" s="281"/>
      <c r="B11" s="275"/>
      <c r="C11" s="283"/>
      <c r="D11" s="275"/>
      <c r="E11" s="283"/>
      <c r="F11" s="275"/>
      <c r="G11" s="283"/>
      <c r="H11" s="275"/>
      <c r="I11" s="284"/>
      <c r="J11" s="275"/>
      <c r="K11" s="143"/>
    </row>
    <row r="12" spans="1:11" ht="15.75">
      <c r="A12" s="281"/>
      <c r="B12" s="275"/>
      <c r="C12" s="281"/>
      <c r="D12" s="275"/>
      <c r="E12" s="285"/>
      <c r="F12" s="275"/>
      <c r="G12" s="285"/>
      <c r="H12" s="275"/>
      <c r="I12" s="285"/>
      <c r="J12" s="275"/>
      <c r="K12" s="143"/>
    </row>
    <row r="13" spans="1:11" ht="15.75">
      <c r="A13" s="286"/>
      <c r="B13" s="275"/>
      <c r="C13" s="287"/>
      <c r="D13" s="275"/>
      <c r="E13" s="287"/>
      <c r="F13" s="275"/>
      <c r="G13" s="287"/>
      <c r="H13" s="275"/>
      <c r="I13" s="284"/>
      <c r="J13" s="275"/>
      <c r="K13" s="143"/>
    </row>
    <row r="14" spans="1:11" ht="15.75">
      <c r="A14" s="281"/>
      <c r="B14" s="275"/>
      <c r="C14" s="285"/>
      <c r="D14" s="275"/>
      <c r="E14" s="285"/>
      <c r="F14" s="275"/>
      <c r="G14" s="285"/>
      <c r="H14" s="275"/>
      <c r="I14" s="285"/>
      <c r="J14" s="275"/>
      <c r="K14" s="143"/>
    </row>
    <row r="15" spans="1:11" ht="15.75">
      <c r="A15" s="281"/>
      <c r="B15" s="275"/>
      <c r="C15" s="285"/>
      <c r="D15" s="275"/>
      <c r="E15" s="285"/>
      <c r="F15" s="275"/>
      <c r="G15" s="285"/>
      <c r="H15" s="275"/>
      <c r="I15" s="285"/>
      <c r="J15" s="275"/>
      <c r="K15" s="143"/>
    </row>
    <row r="16" spans="1:11" ht="15.75">
      <c r="A16" s="281"/>
      <c r="B16" s="275"/>
      <c r="C16" s="281"/>
      <c r="D16" s="275"/>
      <c r="E16" s="281"/>
      <c r="F16" s="275"/>
      <c r="G16" s="285"/>
      <c r="H16" s="275"/>
      <c r="I16" s="281"/>
      <c r="J16" s="275"/>
      <c r="K16" s="143"/>
    </row>
    <row r="17" spans="1:11" ht="15.75">
      <c r="A17" s="278" t="s">
        <v>273</v>
      </c>
      <c r="B17" s="277">
        <f>SUM(B9:B16)</f>
        <v>0</v>
      </c>
      <c r="C17" s="278" t="s">
        <v>273</v>
      </c>
      <c r="D17" s="277">
        <f>SUM(D9:D16)</f>
        <v>0</v>
      </c>
      <c r="E17" s="278" t="s">
        <v>273</v>
      </c>
      <c r="F17" s="389">
        <f>SUM(F9:F16)</f>
        <v>0</v>
      </c>
      <c r="G17" s="278" t="s">
        <v>273</v>
      </c>
      <c r="H17" s="277">
        <f>SUM(H9:H16)</f>
        <v>0</v>
      </c>
      <c r="I17" s="278" t="s">
        <v>273</v>
      </c>
      <c r="J17" s="277">
        <f>SUM(J9:J16)</f>
        <v>0</v>
      </c>
      <c r="K17" s="277">
        <f>SUM(B17+D17+F17+H17+J17)</f>
        <v>0</v>
      </c>
    </row>
    <row r="18" spans="1:11" ht="15.75">
      <c r="A18" s="278" t="s">
        <v>274</v>
      </c>
      <c r="B18" s="277">
        <f>SUM(B7+B17)</f>
        <v>0</v>
      </c>
      <c r="C18" s="278" t="s">
        <v>274</v>
      </c>
      <c r="D18" s="277">
        <f>SUM(D7+D17)</f>
        <v>0</v>
      </c>
      <c r="E18" s="278" t="s">
        <v>274</v>
      </c>
      <c r="F18" s="277">
        <f>SUM(F7+F17)</f>
        <v>0</v>
      </c>
      <c r="G18" s="278" t="s">
        <v>274</v>
      </c>
      <c r="H18" s="277">
        <f>SUM(H7+H17)</f>
        <v>0</v>
      </c>
      <c r="I18" s="278" t="s">
        <v>274</v>
      </c>
      <c r="J18" s="277">
        <f>SUM(J7+J17)</f>
        <v>0</v>
      </c>
      <c r="K18" s="277">
        <f>SUM(B18+D18+F18+H18+J18)</f>
        <v>0</v>
      </c>
    </row>
    <row r="19" spans="1:11" ht="15.75">
      <c r="A19" s="278" t="s">
        <v>276</v>
      </c>
      <c r="B19" s="279"/>
      <c r="C19" s="278" t="s">
        <v>276</v>
      </c>
      <c r="D19" s="280"/>
      <c r="E19" s="278" t="s">
        <v>276</v>
      </c>
      <c r="F19" s="143"/>
      <c r="G19" s="278" t="s">
        <v>276</v>
      </c>
      <c r="H19" s="123"/>
      <c r="I19" s="278" t="s">
        <v>276</v>
      </c>
      <c r="J19" s="123"/>
      <c r="K19" s="143"/>
    </row>
    <row r="20" spans="1:11" ht="15.75">
      <c r="A20" s="281"/>
      <c r="B20" s="275"/>
      <c r="C20" s="285"/>
      <c r="D20" s="275"/>
      <c r="E20" s="285"/>
      <c r="F20" s="275"/>
      <c r="G20" s="285"/>
      <c r="H20" s="275"/>
      <c r="I20" s="285"/>
      <c r="J20" s="275"/>
      <c r="K20" s="143"/>
    </row>
    <row r="21" spans="1:11" ht="15.75">
      <c r="A21" s="281"/>
      <c r="B21" s="275"/>
      <c r="C21" s="285"/>
      <c r="D21" s="275"/>
      <c r="E21" s="285"/>
      <c r="F21" s="275"/>
      <c r="G21" s="285"/>
      <c r="H21" s="275"/>
      <c r="I21" s="285"/>
      <c r="J21" s="275"/>
      <c r="K21" s="143"/>
    </row>
    <row r="22" spans="1:11" ht="15.75">
      <c r="A22" s="281"/>
      <c r="B22" s="275"/>
      <c r="C22" s="287"/>
      <c r="D22" s="275"/>
      <c r="E22" s="287"/>
      <c r="F22" s="275"/>
      <c r="G22" s="287"/>
      <c r="H22" s="275"/>
      <c r="I22" s="284"/>
      <c r="J22" s="275"/>
      <c r="K22" s="143"/>
    </row>
    <row r="23" spans="1:11" ht="15.75">
      <c r="A23" s="281"/>
      <c r="B23" s="275"/>
      <c r="C23" s="285"/>
      <c r="D23" s="275"/>
      <c r="E23" s="285"/>
      <c r="F23" s="275"/>
      <c r="G23" s="285"/>
      <c r="H23" s="275"/>
      <c r="I23" s="285"/>
      <c r="J23" s="275"/>
      <c r="K23" s="143"/>
    </row>
    <row r="24" spans="1:11" ht="15.75">
      <c r="A24" s="281"/>
      <c r="B24" s="275"/>
      <c r="C24" s="287"/>
      <c r="D24" s="275"/>
      <c r="E24" s="287"/>
      <c r="F24" s="275"/>
      <c r="G24" s="287"/>
      <c r="H24" s="275"/>
      <c r="I24" s="284"/>
      <c r="J24" s="275"/>
      <c r="K24" s="143"/>
    </row>
    <row r="25" spans="1:11" ht="15.75">
      <c r="A25" s="281"/>
      <c r="B25" s="275"/>
      <c r="C25" s="285"/>
      <c r="D25" s="275"/>
      <c r="E25" s="285"/>
      <c r="F25" s="275"/>
      <c r="G25" s="285"/>
      <c r="H25" s="275"/>
      <c r="I25" s="285"/>
      <c r="J25" s="275"/>
      <c r="K25" s="143"/>
    </row>
    <row r="26" spans="1:11" ht="15.75">
      <c r="A26" s="281"/>
      <c r="B26" s="275"/>
      <c r="C26" s="285"/>
      <c r="D26" s="275"/>
      <c r="E26" s="285"/>
      <c r="F26" s="275"/>
      <c r="G26" s="285"/>
      <c r="H26" s="275"/>
      <c r="I26" s="285"/>
      <c r="J26" s="275"/>
      <c r="K26" s="143"/>
    </row>
    <row r="27" spans="1:11" ht="15.75">
      <c r="A27" s="281"/>
      <c r="B27" s="275"/>
      <c r="C27" s="281"/>
      <c r="D27" s="275"/>
      <c r="E27" s="281"/>
      <c r="F27" s="275"/>
      <c r="G27" s="285"/>
      <c r="H27" s="275"/>
      <c r="I27" s="285"/>
      <c r="J27" s="275"/>
      <c r="K27" s="143"/>
    </row>
    <row r="28" spans="1:11" ht="15.75">
      <c r="A28" s="278" t="s">
        <v>280</v>
      </c>
      <c r="B28" s="277">
        <f>SUM(B20:B27)</f>
        <v>0</v>
      </c>
      <c r="C28" s="278" t="s">
        <v>280</v>
      </c>
      <c r="D28" s="277">
        <f>SUM(D20:D27)</f>
        <v>0</v>
      </c>
      <c r="E28" s="278" t="s">
        <v>280</v>
      </c>
      <c r="F28" s="389">
        <f>SUM(F20:F27)</f>
        <v>0</v>
      </c>
      <c r="G28" s="278" t="s">
        <v>280</v>
      </c>
      <c r="H28" s="389">
        <f>SUM(H20:H27)</f>
        <v>0</v>
      </c>
      <c r="I28" s="278" t="s">
        <v>280</v>
      </c>
      <c r="J28" s="277">
        <f>SUM(J20:J27)</f>
        <v>0</v>
      </c>
      <c r="K28" s="277">
        <f>SUM(B28+D28+F28+H28+J28)</f>
        <v>0</v>
      </c>
    </row>
    <row r="29" spans="1:12" ht="15.75">
      <c r="A29" s="278" t="s">
        <v>70</v>
      </c>
      <c r="B29" s="277">
        <f>SUM(B18-B28)</f>
        <v>0</v>
      </c>
      <c r="C29" s="278" t="s">
        <v>70</v>
      </c>
      <c r="D29" s="277">
        <f>SUM(D18-D28)</f>
        <v>0</v>
      </c>
      <c r="E29" s="278" t="s">
        <v>70</v>
      </c>
      <c r="F29" s="277">
        <f>SUM(F18-F28)</f>
        <v>0</v>
      </c>
      <c r="G29" s="278" t="s">
        <v>70</v>
      </c>
      <c r="H29" s="277">
        <f>SUM(H18-H28)</f>
        <v>0</v>
      </c>
      <c r="I29" s="278" t="s">
        <v>70</v>
      </c>
      <c r="J29" s="277">
        <f>SUM(J18-J28)</f>
        <v>0</v>
      </c>
      <c r="K29" s="288">
        <f>SUM(B29+D29+F29+H29+J29)</f>
        <v>0</v>
      </c>
      <c r="L29" s="65" t="s">
        <v>133</v>
      </c>
    </row>
    <row r="30" spans="1:12" ht="15.75">
      <c r="A30" s="278"/>
      <c r="B30" s="289">
        <f>IF(B29&lt;0,"See Tab B","")</f>
      </c>
      <c r="C30" s="278"/>
      <c r="D30" s="289">
        <f>IF(D29&lt;0,"See Tab B","")</f>
      </c>
      <c r="E30" s="278"/>
      <c r="F30" s="289">
        <f>IF(F29&lt;0,"See Tab B","")</f>
      </c>
      <c r="G30" s="123"/>
      <c r="H30" s="289">
        <f>IF(H29&lt;0,"See Tab B","")</f>
      </c>
      <c r="I30" s="123"/>
      <c r="J30" s="289">
        <f>IF(J29&lt;0,"See Tab B","")</f>
      </c>
      <c r="K30" s="288">
        <f>SUM(K7+K17-K28)</f>
        <v>0</v>
      </c>
      <c r="L30" s="65" t="s">
        <v>133</v>
      </c>
    </row>
    <row r="31" spans="1:11" ht="15.75">
      <c r="A31" s="123"/>
      <c r="B31" s="199"/>
      <c r="C31" s="123"/>
      <c r="D31" s="143"/>
      <c r="E31" s="123"/>
      <c r="F31" s="123"/>
      <c r="G31" s="75" t="s">
        <v>135</v>
      </c>
      <c r="H31" s="75"/>
      <c r="I31" s="75"/>
      <c r="J31" s="75"/>
      <c r="K31" s="123"/>
    </row>
    <row r="32" spans="1:11" ht="15.75">
      <c r="A32" s="123"/>
      <c r="B32" s="199"/>
      <c r="C32" s="123"/>
      <c r="D32" s="123"/>
      <c r="E32" s="123"/>
      <c r="F32" s="123"/>
      <c r="G32" s="291"/>
      <c r="H32" s="123"/>
      <c r="I32" s="123"/>
      <c r="J32" s="123"/>
      <c r="K32" s="123"/>
    </row>
    <row r="33" spans="1:11" ht="15.75">
      <c r="A33" s="123"/>
      <c r="B33" s="199"/>
      <c r="C33" s="123"/>
      <c r="D33" s="123"/>
      <c r="E33" s="204" t="s">
        <v>283</v>
      </c>
      <c r="F33" s="839"/>
      <c r="G33" s="123"/>
      <c r="H33" s="123"/>
      <c r="I33" s="123"/>
      <c r="J33" s="123"/>
      <c r="K33" s="123"/>
    </row>
    <row r="34" ht="15.75">
      <c r="B34" s="290"/>
    </row>
    <row r="35" ht="15.75">
      <c r="B35" s="290"/>
    </row>
    <row r="36" ht="15.75">
      <c r="B36" s="290"/>
    </row>
    <row r="37" ht="15.75">
      <c r="B37" s="290"/>
    </row>
    <row r="38" ht="15.75">
      <c r="B38" s="290"/>
    </row>
    <row r="39" ht="15.75">
      <c r="B39" s="290"/>
    </row>
    <row r="40" ht="15.75">
      <c r="B40" s="290"/>
    </row>
    <row r="41" ht="15.75">
      <c r="B41" s="2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6" sqref="T76"/>
    </sheetView>
  </sheetViews>
  <sheetFormatPr defaultColWidth="8.7968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75">
      <c r="A1" s="122">
        <f>inputPrYr!$D$3</f>
        <v>0</v>
      </c>
      <c r="B1" s="143"/>
      <c r="C1" s="123"/>
      <c r="D1" s="123"/>
      <c r="E1" s="123"/>
      <c r="F1" s="196" t="s">
        <v>73</v>
      </c>
      <c r="G1" s="123"/>
      <c r="H1" s="123"/>
      <c r="I1" s="123"/>
      <c r="J1" s="123"/>
      <c r="K1" s="123">
        <f>inputPrYr!$C$10</f>
        <v>0</v>
      </c>
    </row>
    <row r="2" spans="1:11" ht="15.75">
      <c r="A2" s="123"/>
      <c r="B2" s="123"/>
      <c r="C2" s="123"/>
      <c r="D2" s="123"/>
      <c r="E2" s="123"/>
      <c r="F2" s="266" t="str">
        <f>CONCATENATE("(Only the actual budget year for ",K1-2," is to be shown)")</f>
        <v>(Only the actual budget year for -2 is to be shown)</v>
      </c>
      <c r="G2" s="123"/>
      <c r="H2" s="123"/>
      <c r="I2" s="123"/>
      <c r="J2" s="123"/>
      <c r="K2" s="123"/>
    </row>
    <row r="3" spans="1:11" ht="15.75">
      <c r="A3" s="123" t="s">
        <v>100</v>
      </c>
      <c r="B3" s="123"/>
      <c r="C3" s="123"/>
      <c r="D3" s="123"/>
      <c r="E3" s="123"/>
      <c r="F3" s="143"/>
      <c r="G3" s="123"/>
      <c r="H3" s="123"/>
      <c r="I3" s="123"/>
      <c r="J3" s="123"/>
      <c r="K3" s="123"/>
    </row>
    <row r="4" spans="1:11" ht="15.75">
      <c r="A4" s="123" t="s">
        <v>64</v>
      </c>
      <c r="B4" s="123"/>
      <c r="C4" s="123" t="s">
        <v>65</v>
      </c>
      <c r="D4" s="123"/>
      <c r="E4" s="123" t="s">
        <v>66</v>
      </c>
      <c r="F4" s="143"/>
      <c r="G4" s="123" t="s">
        <v>67</v>
      </c>
      <c r="H4" s="123"/>
      <c r="I4" s="123" t="s">
        <v>68</v>
      </c>
      <c r="J4" s="123"/>
      <c r="K4" s="123"/>
    </row>
    <row r="5" spans="1:11" ht="15.75">
      <c r="A5" s="1002" t="str">
        <f>IF(inputPrYr!B80&gt;" ",(inputPrYr!B80)," ")</f>
        <v> </v>
      </c>
      <c r="B5" s="1003"/>
      <c r="C5" s="1002" t="str">
        <f>IF(inputPrYr!B81&gt;" ",(inputPrYr!B81)," ")</f>
        <v> </v>
      </c>
      <c r="D5" s="1003"/>
      <c r="E5" s="1002" t="str">
        <f>IF(inputPrYr!B82&gt;" ",(inputPrYr!B82)," ")</f>
        <v> </v>
      </c>
      <c r="F5" s="1003"/>
      <c r="G5" s="1002" t="str">
        <f>IF(inputPrYr!B83&gt;" ",(inputPrYr!B83)," ")</f>
        <v> </v>
      </c>
      <c r="H5" s="1003"/>
      <c r="I5" s="1002" t="str">
        <f>IF(inputPrYr!B84&gt;" ",(inputPrYr!B84)," ")</f>
        <v> </v>
      </c>
      <c r="J5" s="1003"/>
      <c r="K5" s="147"/>
    </row>
    <row r="6" spans="1:11" ht="15.75">
      <c r="A6" s="268" t="s">
        <v>69</v>
      </c>
      <c r="B6" s="269"/>
      <c r="C6" s="270" t="s">
        <v>69</v>
      </c>
      <c r="D6" s="271"/>
      <c r="E6" s="270" t="s">
        <v>69</v>
      </c>
      <c r="F6" s="267"/>
      <c r="G6" s="270" t="s">
        <v>69</v>
      </c>
      <c r="H6" s="272"/>
      <c r="I6" s="270" t="s">
        <v>69</v>
      </c>
      <c r="J6" s="123"/>
      <c r="K6" s="273" t="s">
        <v>241</v>
      </c>
    </row>
    <row r="7" spans="1:11" ht="15.75">
      <c r="A7" s="274" t="s">
        <v>170</v>
      </c>
      <c r="B7" s="275"/>
      <c r="C7" s="276" t="s">
        <v>170</v>
      </c>
      <c r="D7" s="275"/>
      <c r="E7" s="276" t="s">
        <v>170</v>
      </c>
      <c r="F7" s="275"/>
      <c r="G7" s="276" t="s">
        <v>170</v>
      </c>
      <c r="H7" s="275"/>
      <c r="I7" s="276" t="s">
        <v>170</v>
      </c>
      <c r="J7" s="275"/>
      <c r="K7" s="277">
        <f>SUM(B7+D7+F7+H7+J7)</f>
        <v>0</v>
      </c>
    </row>
    <row r="8" spans="1:11" ht="15.75">
      <c r="A8" s="278" t="s">
        <v>49</v>
      </c>
      <c r="B8" s="279"/>
      <c r="C8" s="278" t="s">
        <v>49</v>
      </c>
      <c r="D8" s="280"/>
      <c r="E8" s="278" t="s">
        <v>49</v>
      </c>
      <c r="F8" s="143"/>
      <c r="G8" s="278" t="s">
        <v>49</v>
      </c>
      <c r="H8" s="123"/>
      <c r="I8" s="278" t="s">
        <v>49</v>
      </c>
      <c r="J8" s="123"/>
      <c r="K8" s="143"/>
    </row>
    <row r="9" spans="1:11" ht="15.75">
      <c r="A9" s="281"/>
      <c r="B9" s="275"/>
      <c r="C9" s="281"/>
      <c r="D9" s="275"/>
      <c r="E9" s="281"/>
      <c r="F9" s="275"/>
      <c r="G9" s="281"/>
      <c r="H9" s="275"/>
      <c r="I9" s="281"/>
      <c r="J9" s="275"/>
      <c r="K9" s="143"/>
    </row>
    <row r="10" spans="1:11" ht="15.75">
      <c r="A10" s="281"/>
      <c r="B10" s="275"/>
      <c r="C10" s="281"/>
      <c r="D10" s="275"/>
      <c r="E10" s="281"/>
      <c r="F10" s="275"/>
      <c r="G10" s="281"/>
      <c r="H10" s="275"/>
      <c r="I10" s="281"/>
      <c r="J10" s="275"/>
      <c r="K10" s="143"/>
    </row>
    <row r="11" spans="1:11" ht="15.75">
      <c r="A11" s="281"/>
      <c r="B11" s="275"/>
      <c r="C11" s="283"/>
      <c r="D11" s="275"/>
      <c r="E11" s="283"/>
      <c r="F11" s="275"/>
      <c r="G11" s="283"/>
      <c r="H11" s="275"/>
      <c r="I11" s="284"/>
      <c r="J11" s="275"/>
      <c r="K11" s="143"/>
    </row>
    <row r="12" spans="1:11" ht="15.75">
      <c r="A12" s="281"/>
      <c r="B12" s="275"/>
      <c r="C12" s="281"/>
      <c r="D12" s="275"/>
      <c r="E12" s="285"/>
      <c r="F12" s="275"/>
      <c r="G12" s="285"/>
      <c r="H12" s="275"/>
      <c r="I12" s="285"/>
      <c r="J12" s="275"/>
      <c r="K12" s="143"/>
    </row>
    <row r="13" spans="1:11" ht="15.75">
      <c r="A13" s="286"/>
      <c r="B13" s="275"/>
      <c r="C13" s="287"/>
      <c r="D13" s="275"/>
      <c r="E13" s="287"/>
      <c r="F13" s="275"/>
      <c r="G13" s="287"/>
      <c r="H13" s="275"/>
      <c r="I13" s="284"/>
      <c r="J13" s="275"/>
      <c r="K13" s="143"/>
    </row>
    <row r="14" spans="1:11" ht="15.75">
      <c r="A14" s="281"/>
      <c r="B14" s="275"/>
      <c r="C14" s="285"/>
      <c r="D14" s="275"/>
      <c r="E14" s="285"/>
      <c r="F14" s="275"/>
      <c r="G14" s="285"/>
      <c r="H14" s="275"/>
      <c r="I14" s="285"/>
      <c r="J14" s="275"/>
      <c r="K14" s="143"/>
    </row>
    <row r="15" spans="1:11" ht="15.75">
      <c r="A15" s="281"/>
      <c r="B15" s="275"/>
      <c r="C15" s="285"/>
      <c r="D15" s="275"/>
      <c r="E15" s="285"/>
      <c r="F15" s="275"/>
      <c r="G15" s="285"/>
      <c r="H15" s="275"/>
      <c r="I15" s="285"/>
      <c r="J15" s="275"/>
      <c r="K15" s="143"/>
    </row>
    <row r="16" spans="1:11" ht="15.75">
      <c r="A16" s="281"/>
      <c r="B16" s="275"/>
      <c r="C16" s="281"/>
      <c r="D16" s="275"/>
      <c r="E16" s="281"/>
      <c r="F16" s="275"/>
      <c r="G16" s="285"/>
      <c r="H16" s="275"/>
      <c r="I16" s="281"/>
      <c r="J16" s="275"/>
      <c r="K16" s="143"/>
    </row>
    <row r="17" spans="1:11" ht="15.75">
      <c r="A17" s="278" t="s">
        <v>273</v>
      </c>
      <c r="B17" s="277">
        <f>SUM(B9:B16)</f>
        <v>0</v>
      </c>
      <c r="C17" s="278" t="s">
        <v>273</v>
      </c>
      <c r="D17" s="277">
        <f>SUM(D9:D16)</f>
        <v>0</v>
      </c>
      <c r="E17" s="278" t="s">
        <v>273</v>
      </c>
      <c r="F17" s="389">
        <f>SUM(F9:F16)</f>
        <v>0</v>
      </c>
      <c r="G17" s="278" t="s">
        <v>273</v>
      </c>
      <c r="H17" s="277">
        <f>SUM(H9:H16)</f>
        <v>0</v>
      </c>
      <c r="I17" s="278" t="s">
        <v>273</v>
      </c>
      <c r="J17" s="277">
        <f>SUM(J9:J16)</f>
        <v>0</v>
      </c>
      <c r="K17" s="277">
        <f>SUM(B17+D17+F17+H17+J17)</f>
        <v>0</v>
      </c>
    </row>
    <row r="18" spans="1:11" ht="15.75">
      <c r="A18" s="278" t="s">
        <v>274</v>
      </c>
      <c r="B18" s="277">
        <f>SUM(B7+B17)</f>
        <v>0</v>
      </c>
      <c r="C18" s="278" t="s">
        <v>274</v>
      </c>
      <c r="D18" s="277">
        <f>SUM(D7+D17)</f>
        <v>0</v>
      </c>
      <c r="E18" s="278" t="s">
        <v>274</v>
      </c>
      <c r="F18" s="277">
        <f>SUM(F7+F17)</f>
        <v>0</v>
      </c>
      <c r="G18" s="278" t="s">
        <v>274</v>
      </c>
      <c r="H18" s="277">
        <f>SUM(H7+H17)</f>
        <v>0</v>
      </c>
      <c r="I18" s="278" t="s">
        <v>274</v>
      </c>
      <c r="J18" s="277">
        <f>SUM(J7+J17)</f>
        <v>0</v>
      </c>
      <c r="K18" s="277">
        <f>SUM(B18+D18+F18+H18+J18)</f>
        <v>0</v>
      </c>
    </row>
    <row r="19" spans="1:11" ht="15.75">
      <c r="A19" s="278" t="s">
        <v>276</v>
      </c>
      <c r="B19" s="279"/>
      <c r="C19" s="278" t="s">
        <v>276</v>
      </c>
      <c r="D19" s="280"/>
      <c r="E19" s="278" t="s">
        <v>276</v>
      </c>
      <c r="F19" s="143"/>
      <c r="G19" s="278" t="s">
        <v>276</v>
      </c>
      <c r="H19" s="123"/>
      <c r="I19" s="278" t="s">
        <v>276</v>
      </c>
      <c r="J19" s="123"/>
      <c r="K19" s="143"/>
    </row>
    <row r="20" spans="1:11" ht="15.75">
      <c r="A20" s="281"/>
      <c r="B20" s="275"/>
      <c r="C20" s="285"/>
      <c r="D20" s="275"/>
      <c r="E20" s="285"/>
      <c r="F20" s="275"/>
      <c r="G20" s="285"/>
      <c r="H20" s="275"/>
      <c r="I20" s="285"/>
      <c r="J20" s="275"/>
      <c r="K20" s="143"/>
    </row>
    <row r="21" spans="1:11" ht="15.75">
      <c r="A21" s="281"/>
      <c r="B21" s="275"/>
      <c r="C21" s="285"/>
      <c r="D21" s="275"/>
      <c r="E21" s="285"/>
      <c r="F21" s="275"/>
      <c r="G21" s="285"/>
      <c r="H21" s="275"/>
      <c r="I21" s="285"/>
      <c r="J21" s="275"/>
      <c r="K21" s="143"/>
    </row>
    <row r="22" spans="1:11" ht="15.75">
      <c r="A22" s="281"/>
      <c r="B22" s="275"/>
      <c r="C22" s="287"/>
      <c r="D22" s="275"/>
      <c r="E22" s="287"/>
      <c r="F22" s="275"/>
      <c r="G22" s="287"/>
      <c r="H22" s="275"/>
      <c r="I22" s="284"/>
      <c r="J22" s="275"/>
      <c r="K22" s="143"/>
    </row>
    <row r="23" spans="1:11" ht="15.75">
      <c r="A23" s="281"/>
      <c r="B23" s="275"/>
      <c r="C23" s="285"/>
      <c r="D23" s="275"/>
      <c r="E23" s="285"/>
      <c r="F23" s="275"/>
      <c r="G23" s="285"/>
      <c r="H23" s="275"/>
      <c r="I23" s="285"/>
      <c r="J23" s="275"/>
      <c r="K23" s="143"/>
    </row>
    <row r="24" spans="1:11" ht="15.75">
      <c r="A24" s="281"/>
      <c r="B24" s="275"/>
      <c r="C24" s="287"/>
      <c r="D24" s="275"/>
      <c r="E24" s="287"/>
      <c r="F24" s="275"/>
      <c r="G24" s="287"/>
      <c r="H24" s="275"/>
      <c r="I24" s="284"/>
      <c r="J24" s="275"/>
      <c r="K24" s="143"/>
    </row>
    <row r="25" spans="1:11" ht="15.75">
      <c r="A25" s="281"/>
      <c r="B25" s="275"/>
      <c r="C25" s="285"/>
      <c r="D25" s="275"/>
      <c r="E25" s="285"/>
      <c r="F25" s="275"/>
      <c r="G25" s="285"/>
      <c r="H25" s="275"/>
      <c r="I25" s="285"/>
      <c r="J25" s="275"/>
      <c r="K25" s="143"/>
    </row>
    <row r="26" spans="1:11" ht="15.75">
      <c r="A26" s="281"/>
      <c r="B26" s="275"/>
      <c r="C26" s="285"/>
      <c r="D26" s="275"/>
      <c r="E26" s="285"/>
      <c r="F26" s="275"/>
      <c r="G26" s="285"/>
      <c r="H26" s="275"/>
      <c r="I26" s="285"/>
      <c r="J26" s="275"/>
      <c r="K26" s="143"/>
    </row>
    <row r="27" spans="1:11" ht="15.75">
      <c r="A27" s="281"/>
      <c r="B27" s="275"/>
      <c r="C27" s="281"/>
      <c r="D27" s="275"/>
      <c r="E27" s="281"/>
      <c r="F27" s="275"/>
      <c r="G27" s="285"/>
      <c r="H27" s="275"/>
      <c r="I27" s="285"/>
      <c r="J27" s="275"/>
      <c r="K27" s="143"/>
    </row>
    <row r="28" spans="1:11" ht="15.75">
      <c r="A28" s="278" t="s">
        <v>280</v>
      </c>
      <c r="B28" s="277">
        <f>SUM(B20:B27)</f>
        <v>0</v>
      </c>
      <c r="C28" s="278" t="s">
        <v>280</v>
      </c>
      <c r="D28" s="277">
        <f>SUM(D20:D27)</f>
        <v>0</v>
      </c>
      <c r="E28" s="278" t="s">
        <v>280</v>
      </c>
      <c r="F28" s="389">
        <f>SUM(F20:F27)</f>
        <v>0</v>
      </c>
      <c r="G28" s="278" t="s">
        <v>280</v>
      </c>
      <c r="H28" s="389">
        <f>SUM(H20:H27)</f>
        <v>0</v>
      </c>
      <c r="I28" s="278" t="s">
        <v>280</v>
      </c>
      <c r="J28" s="277">
        <f>SUM(J20:J27)</f>
        <v>0</v>
      </c>
      <c r="K28" s="277">
        <f>SUM(B28+D28+F28+H28+J28)</f>
        <v>0</v>
      </c>
    </row>
    <row r="29" spans="1:12" ht="15.75">
      <c r="A29" s="278" t="s">
        <v>70</v>
      </c>
      <c r="B29" s="277">
        <f>SUM(B18-B28)</f>
        <v>0</v>
      </c>
      <c r="C29" s="278" t="s">
        <v>70</v>
      </c>
      <c r="D29" s="277">
        <f>SUM(D18-D28)</f>
        <v>0</v>
      </c>
      <c r="E29" s="278" t="s">
        <v>70</v>
      </c>
      <c r="F29" s="277">
        <f>SUM(F18-F28)</f>
        <v>0</v>
      </c>
      <c r="G29" s="278" t="s">
        <v>70</v>
      </c>
      <c r="H29" s="277">
        <f>SUM(H18-H28)</f>
        <v>0</v>
      </c>
      <c r="I29" s="278" t="s">
        <v>70</v>
      </c>
      <c r="J29" s="277">
        <f>SUM(J18-J28)</f>
        <v>0</v>
      </c>
      <c r="K29" s="288">
        <f>SUM(B29+D29+F29+H29+J29)</f>
        <v>0</v>
      </c>
      <c r="L29" s="65" t="s">
        <v>133</v>
      </c>
    </row>
    <row r="30" spans="1:12" ht="15.75">
      <c r="A30" s="278"/>
      <c r="B30" s="289">
        <f>IF(B29&lt;0,"See Tab B","")</f>
      </c>
      <c r="C30" s="278"/>
      <c r="D30" s="289">
        <f>IF(D29&lt;0,"See Tab B","")</f>
      </c>
      <c r="E30" s="278"/>
      <c r="F30" s="289">
        <f>IF(F29&lt;0,"See Tab B","")</f>
      </c>
      <c r="G30" s="123"/>
      <c r="H30" s="289">
        <f>IF(H29&lt;0,"See Tab B","")</f>
      </c>
      <c r="I30" s="123"/>
      <c r="J30" s="289">
        <f>IF(J29&lt;0,"See Tab B","")</f>
      </c>
      <c r="K30" s="288">
        <f>SUM(K7+K17-K28)</f>
        <v>0</v>
      </c>
      <c r="L30" s="65" t="s">
        <v>133</v>
      </c>
    </row>
    <row r="31" spans="1:11" ht="15.75">
      <c r="A31" s="123"/>
      <c r="B31" s="199"/>
      <c r="C31" s="123"/>
      <c r="D31" s="143"/>
      <c r="E31" s="123"/>
      <c r="F31" s="123"/>
      <c r="G31" s="75" t="s">
        <v>134</v>
      </c>
      <c r="H31" s="75"/>
      <c r="I31" s="75"/>
      <c r="J31" s="75"/>
      <c r="K31" s="123"/>
    </row>
    <row r="32" spans="1:11" ht="15.75">
      <c r="A32" s="123"/>
      <c r="B32" s="199"/>
      <c r="C32" s="123"/>
      <c r="D32" s="123"/>
      <c r="E32" s="123"/>
      <c r="F32" s="123"/>
      <c r="G32" s="123"/>
      <c r="H32" s="123"/>
      <c r="I32" s="123"/>
      <c r="J32" s="123"/>
      <c r="K32" s="123"/>
    </row>
    <row r="33" spans="1:11" ht="15.75">
      <c r="A33" s="123"/>
      <c r="B33" s="199"/>
      <c r="C33" s="123"/>
      <c r="D33" s="123"/>
      <c r="E33" s="204" t="s">
        <v>283</v>
      </c>
      <c r="F33" s="839"/>
      <c r="G33" s="123"/>
      <c r="H33" s="123"/>
      <c r="I33" s="123"/>
      <c r="J33" s="123"/>
      <c r="K33" s="123"/>
    </row>
    <row r="34" ht="15.75">
      <c r="B34" s="290"/>
    </row>
    <row r="35" ht="15.75">
      <c r="B35" s="290"/>
    </row>
    <row r="36" ht="15.75">
      <c r="B36" s="290"/>
    </row>
    <row r="37" ht="15.75">
      <c r="B37" s="290"/>
    </row>
    <row r="38" ht="15.75">
      <c r="B38" s="290"/>
    </row>
    <row r="39" ht="15.75">
      <c r="B39" s="290"/>
    </row>
    <row r="40" ht="15.75">
      <c r="B40" s="290"/>
    </row>
    <row r="41" ht="15.75">
      <c r="B41" s="2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9"/>
  <sheetViews>
    <sheetView zoomScalePageLayoutView="0" workbookViewId="0" topLeftCell="A1">
      <selection activeCell="N93" sqref="N93"/>
    </sheetView>
  </sheetViews>
  <sheetFormatPr defaultColWidth="8.796875" defaultRowHeight="15"/>
  <cols>
    <col min="1" max="1" width="70.59765625" style="263" customWidth="1"/>
    <col min="2" max="16384" width="8.8984375" style="263" customWidth="1"/>
  </cols>
  <sheetData>
    <row r="1" ht="18.75">
      <c r="A1" s="504" t="s">
        <v>337</v>
      </c>
    </row>
    <row r="2" ht="15.75">
      <c r="A2" s="502"/>
    </row>
    <row r="3" ht="47.25">
      <c r="A3" s="501" t="s">
        <v>338</v>
      </c>
    </row>
    <row r="4" ht="15.75">
      <c r="A4" s="503"/>
    </row>
    <row r="5" ht="15.75">
      <c r="A5" s="502"/>
    </row>
    <row r="6" ht="31.5">
      <c r="A6" s="501" t="s">
        <v>339</v>
      </c>
    </row>
    <row r="7" ht="15.75">
      <c r="A7" s="502"/>
    </row>
    <row r="8" ht="15.75">
      <c r="A8" s="503"/>
    </row>
    <row r="9" ht="31.5">
      <c r="A9" s="501" t="s">
        <v>340</v>
      </c>
    </row>
    <row r="10" ht="15.75">
      <c r="A10" s="502"/>
    </row>
    <row r="11" ht="15.75">
      <c r="A11" s="503"/>
    </row>
    <row r="12" ht="47.25">
      <c r="A12" s="501" t="s">
        <v>341</v>
      </c>
    </row>
    <row r="13" ht="15.75">
      <c r="A13" s="502"/>
    </row>
    <row r="14" ht="15.75">
      <c r="A14" s="502"/>
    </row>
    <row r="15" ht="47.25">
      <c r="A15" s="501" t="s">
        <v>342</v>
      </c>
    </row>
    <row r="16" ht="15.75">
      <c r="A16" s="502"/>
    </row>
    <row r="17" ht="15.75">
      <c r="A17" s="502"/>
    </row>
    <row r="18" ht="47.25">
      <c r="A18" s="501" t="s">
        <v>343</v>
      </c>
    </row>
    <row r="19" ht="15.75">
      <c r="A19" s="502"/>
    </row>
    <row r="20" ht="15.75">
      <c r="A20" s="502"/>
    </row>
    <row r="21" ht="47.25">
      <c r="A21" s="501" t="s">
        <v>344</v>
      </c>
    </row>
    <row r="22" ht="15.75">
      <c r="A22" s="503"/>
    </row>
    <row r="23" ht="15.75">
      <c r="A23" s="503"/>
    </row>
    <row r="24" ht="47.25">
      <c r="A24" s="501" t="s">
        <v>345</v>
      </c>
    </row>
    <row r="25" ht="15.75">
      <c r="A25" s="502"/>
    </row>
    <row r="26" ht="15.75">
      <c r="A26" s="502"/>
    </row>
    <row r="27" ht="47.25">
      <c r="A27" s="505" t="s">
        <v>728</v>
      </c>
    </row>
    <row r="28" ht="15.75">
      <c r="A28" s="502"/>
    </row>
    <row r="29" ht="15.75">
      <c r="A29" s="502"/>
    </row>
    <row r="30" ht="31.5">
      <c r="A30" s="501" t="s">
        <v>346</v>
      </c>
    </row>
    <row r="31" ht="15.75">
      <c r="A31" s="502"/>
    </row>
    <row r="32" ht="15.75">
      <c r="A32" s="502"/>
    </row>
    <row r="33" ht="31.5">
      <c r="A33" s="501" t="s">
        <v>347</v>
      </c>
    </row>
    <row r="34" ht="15.75">
      <c r="A34" s="503"/>
    </row>
    <row r="35" ht="15.75">
      <c r="A35" s="503"/>
    </row>
    <row r="36" ht="31.5">
      <c r="A36" s="501" t="s">
        <v>348</v>
      </c>
    </row>
    <row r="37" ht="15.75">
      <c r="A37" s="503"/>
    </row>
    <row r="38" ht="15.75">
      <c r="A38" s="502"/>
    </row>
    <row r="39" ht="63">
      <c r="A39" s="501" t="s">
        <v>349</v>
      </c>
    </row>
    <row r="40" ht="15.75">
      <c r="A40" s="502"/>
    </row>
    <row r="41" ht="15.75">
      <c r="A41" s="502"/>
    </row>
    <row r="42" ht="47.25">
      <c r="A42" s="501" t="s">
        <v>350</v>
      </c>
    </row>
    <row r="43" ht="15.75">
      <c r="A43" s="503"/>
    </row>
    <row r="44" ht="15.75">
      <c r="A44" s="502"/>
    </row>
    <row r="45" ht="47.25">
      <c r="A45" s="501" t="s">
        <v>351</v>
      </c>
    </row>
    <row r="46" ht="15.75">
      <c r="A46" s="502"/>
    </row>
    <row r="47" ht="15.75">
      <c r="A47" s="502"/>
    </row>
    <row r="48" ht="31.5">
      <c r="A48" s="501" t="s">
        <v>352</v>
      </c>
    </row>
    <row r="49" ht="15.75">
      <c r="A49" s="502"/>
    </row>
    <row r="50" ht="15.75">
      <c r="A50" s="502"/>
    </row>
    <row r="51" ht="63">
      <c r="A51" s="501" t="s">
        <v>353</v>
      </c>
    </row>
    <row r="52" ht="15.75">
      <c r="A52" s="503"/>
    </row>
    <row r="53" ht="15.75">
      <c r="A53" s="503"/>
    </row>
    <row r="54" ht="47.25">
      <c r="A54" s="501" t="s">
        <v>354</v>
      </c>
    </row>
    <row r="55" ht="15.75">
      <c r="A55" s="502"/>
    </row>
    <row r="56" ht="15.75">
      <c r="A56" s="502"/>
    </row>
    <row r="57" ht="31.5">
      <c r="A57" s="501" t="s">
        <v>355</v>
      </c>
    </row>
    <row r="58" ht="15.75">
      <c r="A58" s="502"/>
    </row>
    <row r="59" ht="15.75">
      <c r="A59" s="502"/>
    </row>
    <row r="60" ht="47.25">
      <c r="A60" s="501" t="s">
        <v>356</v>
      </c>
    </row>
    <row r="61" ht="15.75">
      <c r="A61" s="503"/>
    </row>
    <row r="62" ht="15.75">
      <c r="A62" s="503"/>
    </row>
    <row r="63" ht="47.25">
      <c r="A63" s="501" t="s">
        <v>357</v>
      </c>
    </row>
    <row r="64" ht="15.75">
      <c r="A64" s="502"/>
    </row>
    <row r="65" ht="15.75">
      <c r="A65" s="502"/>
    </row>
    <row r="66" ht="47.25">
      <c r="A66" s="501" t="s">
        <v>358</v>
      </c>
    </row>
    <row r="67" ht="15.75">
      <c r="A67" s="264"/>
    </row>
    <row r="68" ht="15.75">
      <c r="A68" s="264"/>
    </row>
    <row r="69" ht="15.75">
      <c r="A69" s="265"/>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6"/>
  <sheetViews>
    <sheetView zoomScale="75" zoomScaleNormal="75" zoomScalePageLayoutView="0" workbookViewId="0" topLeftCell="A1">
      <selection activeCell="U143" sqref="U143"/>
    </sheetView>
  </sheetViews>
  <sheetFormatPr defaultColWidth="8.796875" defaultRowHeight="15"/>
  <cols>
    <col min="1" max="1" width="21.59765625" style="65" customWidth="1"/>
    <col min="2" max="2" width="15.796875" style="65" customWidth="1"/>
    <col min="3" max="3" width="10.796875" style="65" customWidth="1"/>
    <col min="4" max="4" width="15.796875" style="65" customWidth="1"/>
    <col min="5" max="5" width="10.796875" style="65" customWidth="1"/>
    <col min="6" max="6" width="15.796875" style="65" customWidth="1"/>
    <col min="7" max="7" width="12.796875" style="65" customWidth="1"/>
    <col min="8" max="8" width="10.796875" style="65" customWidth="1"/>
    <col min="9" max="9" width="8.8984375" style="65" customWidth="1"/>
    <col min="10" max="10" width="12.3984375" style="65" customWidth="1"/>
    <col min="11" max="11" width="12.296875" style="65" customWidth="1"/>
    <col min="12" max="12" width="10.59765625" style="65" customWidth="1"/>
    <col min="13" max="13" width="12.09765625" style="65" customWidth="1"/>
    <col min="14" max="16384" width="8.8984375" style="65" customWidth="1"/>
  </cols>
  <sheetData>
    <row r="1" spans="1:9" ht="15.75">
      <c r="A1" s="1017" t="s">
        <v>3</v>
      </c>
      <c r="B1" s="1017"/>
      <c r="C1" s="1017"/>
      <c r="D1" s="1017"/>
      <c r="E1" s="1017"/>
      <c r="F1" s="1017"/>
      <c r="G1" s="1017"/>
      <c r="H1" s="1017"/>
      <c r="I1" s="240"/>
    </row>
    <row r="2" spans="1:8" ht="18" customHeight="1">
      <c r="A2" s="81"/>
      <c r="B2" s="81"/>
      <c r="C2" s="81"/>
      <c r="D2" s="81"/>
      <c r="E2" s="81"/>
      <c r="F2" s="81"/>
      <c r="G2" s="81"/>
      <c r="H2" s="81">
        <f>inputPrYr!$C$10</f>
        <v>0</v>
      </c>
    </row>
    <row r="3" spans="1:8" ht="18" customHeight="1">
      <c r="A3" s="950" t="s">
        <v>286</v>
      </c>
      <c r="B3" s="950"/>
      <c r="C3" s="950"/>
      <c r="D3" s="950"/>
      <c r="E3" s="950"/>
      <c r="F3" s="950"/>
      <c r="G3" s="950"/>
      <c r="H3" s="950"/>
    </row>
    <row r="4" spans="1:8" ht="15.75">
      <c r="A4" s="903">
        <f>inputPrYr!D3</f>
        <v>0</v>
      </c>
      <c r="B4" s="903"/>
      <c r="C4" s="903"/>
      <c r="D4" s="903"/>
      <c r="E4" s="903"/>
      <c r="F4" s="903"/>
      <c r="G4" s="903"/>
      <c r="H4" s="903"/>
    </row>
    <row r="5" spans="1:8" ht="18" customHeight="1">
      <c r="A5" s="950" t="str">
        <f>CONCATENATE("will meet on the ",inputBudSum!B7," at ",inputBudSum!B9," at ",inputBudSum!B11," for the purpose of hearing and")</f>
        <v>will meet on the  at  at  for the purpose of hearing and</v>
      </c>
      <c r="B5" s="950"/>
      <c r="C5" s="950"/>
      <c r="D5" s="950"/>
      <c r="E5" s="950"/>
      <c r="F5" s="950"/>
      <c r="G5" s="950"/>
      <c r="H5" s="950"/>
    </row>
    <row r="6" spans="1:8" ht="16.5" customHeight="1">
      <c r="A6" s="950" t="s">
        <v>616</v>
      </c>
      <c r="B6" s="950"/>
      <c r="C6" s="950"/>
      <c r="D6" s="950"/>
      <c r="E6" s="950"/>
      <c r="F6" s="950"/>
      <c r="G6" s="950"/>
      <c r="H6" s="950"/>
    </row>
    <row r="7" spans="1:8" ht="16.5" customHeight="1">
      <c r="A7" s="950" t="str">
        <f>CONCATENATE("Detailed budget information is available at ",inputBudSum!B14," and will be available at this hearing.")</f>
        <v>Detailed budget information is available at  and will be available at this hearing.</v>
      </c>
      <c r="B7" s="950"/>
      <c r="C7" s="950"/>
      <c r="D7" s="950"/>
      <c r="E7" s="950"/>
      <c r="F7" s="950"/>
      <c r="G7" s="950"/>
      <c r="H7" s="950"/>
    </row>
    <row r="8" spans="1:8" ht="12" customHeight="1">
      <c r="A8" s="841"/>
      <c r="B8" s="842"/>
      <c r="C8" s="842"/>
      <c r="D8" s="842"/>
      <c r="E8" s="842"/>
      <c r="F8" s="842"/>
      <c r="G8" s="87"/>
      <c r="H8" s="87"/>
    </row>
    <row r="9" spans="1:8" ht="15" customHeight="1">
      <c r="A9" s="1017" t="s">
        <v>1008</v>
      </c>
      <c r="B9" s="904"/>
      <c r="C9" s="904"/>
      <c r="D9" s="904"/>
      <c r="E9" s="904"/>
      <c r="F9" s="904"/>
      <c r="G9" s="904"/>
      <c r="H9" s="904"/>
    </row>
    <row r="10" spans="1:8" ht="12" customHeight="1">
      <c r="A10" s="1018" t="str">
        <f>CONCATENATE(inputPrYr!D4," (home county) ",inputPrYr!D6,IF(inputPrYr!D7="","",", "),inputPrYr!D7,IF(inputPrYr!D8="","",", "),inputPrYr!D8)</f>
        <v> (home county) </v>
      </c>
      <c r="B10" s="1019"/>
      <c r="C10" s="1019"/>
      <c r="D10" s="1019"/>
      <c r="E10" s="1019"/>
      <c r="F10" s="1019"/>
      <c r="G10" s="1019"/>
      <c r="H10" s="1019"/>
    </row>
    <row r="11" spans="1:8" ht="12" customHeight="1">
      <c r="A11" s="841"/>
      <c r="B11" s="842"/>
      <c r="C11" s="842"/>
      <c r="D11" s="842"/>
      <c r="E11" s="842"/>
      <c r="F11" s="842"/>
      <c r="G11" s="87"/>
      <c r="H11" s="87"/>
    </row>
    <row r="12" spans="1:8" ht="15.75">
      <c r="A12" s="86" t="s">
        <v>4</v>
      </c>
      <c r="B12" s="87"/>
      <c r="C12" s="87"/>
      <c r="D12" s="87"/>
      <c r="E12" s="87"/>
      <c r="F12" s="87"/>
      <c r="G12" s="87"/>
      <c r="H12" s="87"/>
    </row>
    <row r="13" spans="1:8" ht="15.75">
      <c r="A13" s="162" t="str">
        <f>CONCATENATE("Proposed Budget ",H2," Expenditures and Amount of ",H2-1," Ad Valorem Tax establish the maximum limits of the ",H2," budget.")</f>
        <v>Proposed Budget 0 Expenditures and Amount of -1 Ad Valorem Tax establish the maximum limits of the 0 budget.</v>
      </c>
      <c r="B13" s="87"/>
      <c r="C13" s="87"/>
      <c r="D13" s="87"/>
      <c r="E13" s="87"/>
      <c r="F13" s="87"/>
      <c r="G13" s="87"/>
      <c r="H13" s="87"/>
    </row>
    <row r="14" spans="1:8" ht="15.75">
      <c r="A14" s="162" t="s">
        <v>54</v>
      </c>
      <c r="B14" s="87"/>
      <c r="C14" s="87"/>
      <c r="D14" s="87"/>
      <c r="E14" s="87"/>
      <c r="F14" s="87"/>
      <c r="G14" s="87"/>
      <c r="H14" s="87"/>
    </row>
    <row r="15" spans="1:8" ht="15.75">
      <c r="A15" s="81"/>
      <c r="B15" s="241"/>
      <c r="C15" s="241"/>
      <c r="D15" s="241"/>
      <c r="E15" s="241"/>
      <c r="F15" s="241"/>
      <c r="G15" s="241"/>
      <c r="H15" s="241"/>
    </row>
    <row r="16" spans="1:8" ht="15.75">
      <c r="A16" s="81"/>
      <c r="B16" s="242" t="str">
        <f>CONCATENATE("Prior Year Actual for ",H2-2,"")</f>
        <v>Prior Year Actual for -2</v>
      </c>
      <c r="C16" s="165"/>
      <c r="D16" s="242" t="str">
        <f>CONCATENATE("Current Year Estimate for ",H2-1,"")</f>
        <v>Current Year Estimate for -1</v>
      </c>
      <c r="E16" s="165"/>
      <c r="F16" s="163" t="str">
        <f>CONCATENATE("Proposed Budget for ",H2,"")</f>
        <v>Proposed Budget for 0</v>
      </c>
      <c r="G16" s="164"/>
      <c r="H16" s="165"/>
    </row>
    <row r="17" spans="1:8" ht="21" customHeight="1">
      <c r="A17" s="81"/>
      <c r="B17" s="243"/>
      <c r="C17" s="168" t="s">
        <v>288</v>
      </c>
      <c r="D17" s="168"/>
      <c r="E17" s="168" t="s">
        <v>288</v>
      </c>
      <c r="F17" s="168" t="s">
        <v>637</v>
      </c>
      <c r="G17" s="168" t="str">
        <f>CONCATENATE("Amount of ",H2-1,"")</f>
        <v>Amount of -1</v>
      </c>
      <c r="H17" s="168" t="s">
        <v>103</v>
      </c>
    </row>
    <row r="18" spans="1:8" ht="15.75">
      <c r="A18" s="93" t="s">
        <v>289</v>
      </c>
      <c r="B18" s="172" t="s">
        <v>290</v>
      </c>
      <c r="C18" s="172" t="s">
        <v>291</v>
      </c>
      <c r="D18" s="172" t="s">
        <v>290</v>
      </c>
      <c r="E18" s="172" t="s">
        <v>291</v>
      </c>
      <c r="F18" s="172" t="s">
        <v>638</v>
      </c>
      <c r="G18" s="173" t="s">
        <v>265</v>
      </c>
      <c r="H18" s="172" t="s">
        <v>291</v>
      </c>
    </row>
    <row r="19" spans="1:8" ht="15.75">
      <c r="A19" s="109" t="str">
        <f>inputPrYr!B22</f>
        <v>General</v>
      </c>
      <c r="B19" s="253" t="str">
        <f>IF(general!$C$113&lt;&gt;0,general!$C$113,"  ")</f>
        <v>  </v>
      </c>
      <c r="C19" s="443" t="str">
        <f>IF(inputPrYr!D89&gt;0,inputPrYr!D89,"  ")</f>
        <v>  </v>
      </c>
      <c r="D19" s="253" t="str">
        <f>IF(general!$D$113&lt;&gt;0,general!$D$113,"  ")</f>
        <v>  </v>
      </c>
      <c r="E19" s="443" t="str">
        <f>IF(inputOth!D29&gt;0,inputOth!D29,"  ")</f>
        <v>  </v>
      </c>
      <c r="F19" s="253" t="str">
        <f>IF(general!$E$113&lt;&gt;0,general!$E$113,"  ")</f>
        <v>  </v>
      </c>
      <c r="G19" s="253" t="str">
        <f>IF(general!$E$120&lt;&gt;0,general!$E$120,"  ")</f>
        <v>  </v>
      </c>
      <c r="H19" s="443" t="str">
        <f>IF(general!E120&gt;0,ROUND(G19/$F$61*1000,3),"  ")</f>
        <v>  </v>
      </c>
    </row>
    <row r="20" spans="1:8" ht="15.75">
      <c r="A20" s="109" t="str">
        <f>inputPrYr!B23</f>
        <v>Debt Service</v>
      </c>
      <c r="B20" s="253" t="str">
        <f>IF('DebtSvs-Library'!$C$35&lt;&gt;0,'DebtSvs-Library'!$C$35,"  ")</f>
        <v>  </v>
      </c>
      <c r="C20" s="443" t="str">
        <f>IF(inputPrYr!D90&gt;0,inputPrYr!D90,"  ")</f>
        <v>  </v>
      </c>
      <c r="D20" s="253" t="str">
        <f>IF('DebtSvs-Library'!$D$35&lt;&gt;0,'DebtSvs-Library'!$D$35,"  ")</f>
        <v>  </v>
      </c>
      <c r="E20" s="443" t="str">
        <f>IF(inputOth!D30&gt;0,inputOth!D30,"  ")</f>
        <v>  </v>
      </c>
      <c r="F20" s="253" t="str">
        <f>IF('DebtSvs-Library'!$E$35&lt;&gt;0,'DebtSvs-Library'!$E$35,"  ")</f>
        <v>  </v>
      </c>
      <c r="G20" s="253" t="str">
        <f>IF('DebtSvs-Library'!$E$42&lt;&gt;0,'DebtSvs-Library'!$E$42,"  ")</f>
        <v>  </v>
      </c>
      <c r="H20" s="443" t="str">
        <f>IF('DebtSvs-Library'!E42&gt;0,ROUND(G20/$F$61*1000,3),"  ")</f>
        <v>  </v>
      </c>
    </row>
    <row r="21" spans="1:8" ht="15.75">
      <c r="A21" s="109" t="str">
        <f>IF(inputPrYr!$B24&gt;"  ",(inputPrYr!$B24),"  ")</f>
        <v>Library</v>
      </c>
      <c r="B21" s="253" t="str">
        <f>IF('DebtSvs-Library'!$C$77&lt;&gt;0,'DebtSvs-Library'!$C$77,"  ")</f>
        <v>  </v>
      </c>
      <c r="C21" s="443" t="str">
        <f>IF(inputPrYr!D91&gt;0,inputPrYr!D91,"  ")</f>
        <v>  </v>
      </c>
      <c r="D21" s="253" t="str">
        <f>IF('DebtSvs-Library'!$D$77&lt;&gt;0,'DebtSvs-Library'!$D$77,"  ")</f>
        <v>  </v>
      </c>
      <c r="E21" s="443" t="str">
        <f>IF(inputOth!D31&gt;0,inputOth!D31,"  ")</f>
        <v>  </v>
      </c>
      <c r="F21" s="253" t="str">
        <f>IF('DebtSvs-Library'!$E$77&lt;&gt;0,'DebtSvs-Library'!$E$77,"  ")</f>
        <v>  </v>
      </c>
      <c r="G21" s="253" t="str">
        <f>IF('DebtSvs-Library'!$E$84&lt;&gt;0,'DebtSvs-Library'!$E$84,"  ")</f>
        <v>  </v>
      </c>
      <c r="H21" s="443" t="str">
        <f>IF('DebtSvs-Library'!E84&lt;&gt;0,ROUND(G21/$F$61*1000,3),"  ")</f>
        <v>  </v>
      </c>
    </row>
    <row r="22" spans="1:8" ht="15.75">
      <c r="A22" s="109" t="str">
        <f>IF(inputPrYr!$B26&gt;"  ",(inputPrYr!$B26),"  ")</f>
        <v>  </v>
      </c>
      <c r="B22" s="253" t="str">
        <f>IF('levy page9'!$C$35&gt;0,'levy page9'!$C$35,"  ")</f>
        <v>  </v>
      </c>
      <c r="C22" s="443" t="str">
        <f>IF(inputPrYr!D92&gt;0,inputPrYr!D92,"  ")</f>
        <v>  </v>
      </c>
      <c r="D22" s="253" t="str">
        <f>IF('levy page9'!$D$35&gt;0,'levy page9'!$D$35,"  ")</f>
        <v>  </v>
      </c>
      <c r="E22" s="443" t="str">
        <f>IF(inputOth!D32&gt;0,inputOth!D32,"  ")</f>
        <v>  </v>
      </c>
      <c r="F22" s="253" t="str">
        <f>IF('levy page9'!$E$35&gt;0,'levy page9'!$E$35,"  ")</f>
        <v>  </v>
      </c>
      <c r="G22" s="253" t="str">
        <f>IF('levy page9'!$E$42&lt;&gt;0,'levy page9'!$E$42,"  ")</f>
        <v>  </v>
      </c>
      <c r="H22" s="443" t="str">
        <f>IF('levy page9'!E42&lt;&gt;0,ROUND(G22/$F$61*1000,3),"  ")</f>
        <v>  </v>
      </c>
    </row>
    <row r="23" spans="1:8" ht="15.75">
      <c r="A23" s="109" t="str">
        <f>IF(inputPrYr!$B27&gt;"  ",(inputPrYr!$B27),"  ")</f>
        <v>  </v>
      </c>
      <c r="B23" s="253" t="str">
        <f>IF('levy page9'!$C$77&gt;0,'levy page9'!$C$77,"  ")</f>
        <v>  </v>
      </c>
      <c r="C23" s="443" t="str">
        <f>IF(inputPrYr!D93&gt;0,inputPrYr!D93,"  ")</f>
        <v>  </v>
      </c>
      <c r="D23" s="253" t="str">
        <f>IF('levy page9'!$D$77&gt;0,'levy page9'!$D$77,"  ")</f>
        <v>  </v>
      </c>
      <c r="E23" s="443" t="str">
        <f>IF(inputOth!D33&gt;0,inputOth!D33,"  ")</f>
        <v>  </v>
      </c>
      <c r="F23" s="253" t="str">
        <f>IF('levy page9'!$E$77&gt;0,'levy page9'!$E$77,"  ")</f>
        <v>  </v>
      </c>
      <c r="G23" s="253" t="str">
        <f>IF('levy page9'!$E$84&lt;&gt;0,'levy page9'!$E$84,"  ")</f>
        <v>  </v>
      </c>
      <c r="H23" s="443" t="str">
        <f>IF('levy page9'!E84&lt;&gt;0,ROUND(G23/$F$61*1000,3),"  ")</f>
        <v>  </v>
      </c>
    </row>
    <row r="24" spans="1:8" ht="15.75">
      <c r="A24" s="109" t="str">
        <f>IF(inputPrYr!$B28&gt;"  ",(inputPrYr!$B28),"  ")</f>
        <v>  </v>
      </c>
      <c r="B24" s="253" t="str">
        <f>IF('levy page10'!$C$35&gt;0,'levy page10'!$C$35,"  ")</f>
        <v>  </v>
      </c>
      <c r="C24" s="443" t="str">
        <f>IF(inputPrYr!D94&gt;0,inputPrYr!D94,"  ")</f>
        <v>  </v>
      </c>
      <c r="D24" s="253" t="str">
        <f>IF('levy page10'!$D$35&gt;0,'levy page10'!$D$35,"  ")</f>
        <v>  </v>
      </c>
      <c r="E24" s="443" t="str">
        <f>IF(inputOth!D34&gt;0,inputOth!D34,"  ")</f>
        <v>  </v>
      </c>
      <c r="F24" s="253" t="str">
        <f>IF('levy page10'!$E$35&gt;0,'levy page10'!$E$35,"  ")</f>
        <v>  </v>
      </c>
      <c r="G24" s="253" t="str">
        <f>IF('levy page10'!$E$42&lt;&gt;0,'levy page10'!$E$42,"  ")</f>
        <v>  </v>
      </c>
      <c r="H24" s="443" t="str">
        <f>IF('levy page10'!E42&lt;&gt;0,ROUND(G24/$F$61*1000,3),"  ")</f>
        <v>  </v>
      </c>
    </row>
    <row r="25" spans="1:8" ht="15.75">
      <c r="A25" s="109" t="str">
        <f>IF(inputPrYr!$B29&gt;"  ",(inputPrYr!$B29),"  ")</f>
        <v>  </v>
      </c>
      <c r="B25" s="253" t="str">
        <f>IF('levy page10'!$C$77&gt;0,'levy page10'!$C$77,"  ")</f>
        <v>  </v>
      </c>
      <c r="C25" s="443" t="str">
        <f>IF(inputPrYr!D95&gt;0,inputPrYr!D95,"  ")</f>
        <v>  </v>
      </c>
      <c r="D25" s="253" t="str">
        <f>IF('levy page10'!$D$77&gt;0,'levy page10'!$D$77,"  ")</f>
        <v>  </v>
      </c>
      <c r="E25" s="443" t="str">
        <f>IF(inputOth!D35&gt;0,inputOth!D35,"  ")</f>
        <v>  </v>
      </c>
      <c r="F25" s="253" t="str">
        <f>IF('levy page10'!$E$77&gt;0,'levy page10'!$E$77,"  ")</f>
        <v>  </v>
      </c>
      <c r="G25" s="253" t="str">
        <f>IF('levy page10'!$E$84&lt;&gt;0,'levy page10'!$E$84,"  ")</f>
        <v>  </v>
      </c>
      <c r="H25" s="443" t="str">
        <f>IF('levy page10'!E84&lt;&gt;0,ROUND(G25/$F$61*1000,3),"  ")</f>
        <v>  </v>
      </c>
    </row>
    <row r="26" spans="1:8" ht="15.75">
      <c r="A26" s="109" t="str">
        <f>IF(inputPrYr!$B30&gt;"  ",(inputPrYr!$B30),"  ")</f>
        <v>  </v>
      </c>
      <c r="B26" s="253" t="str">
        <f>IF('levy page11'!$C$35&gt;0,'levy page11'!$C$35,"  ")</f>
        <v>  </v>
      </c>
      <c r="C26" s="443" t="str">
        <f>IF(inputPrYr!D96&gt;0,inputPrYr!D96,"  ")</f>
        <v>  </v>
      </c>
      <c r="D26" s="253" t="str">
        <f>IF('levy page11'!$D$35&gt;0,'levy page11'!$D$35,"  ")</f>
        <v>  </v>
      </c>
      <c r="E26" s="443" t="str">
        <f>IF(inputOth!D36&gt;0,inputOth!D36,"  ")</f>
        <v>  </v>
      </c>
      <c r="F26" s="253" t="str">
        <f>IF('levy page11'!$E$35&gt;0,'levy page11'!$E$35,"  ")</f>
        <v>  </v>
      </c>
      <c r="G26" s="253" t="str">
        <f>IF('levy page11'!$E$42&lt;&gt;0,'levy page11'!$E$42,"  ")</f>
        <v>  </v>
      </c>
      <c r="H26" s="443" t="str">
        <f>IF('levy page11'!E42&lt;&gt;0,ROUND(G26/$F$61*1000,3),"  ")</f>
        <v>  </v>
      </c>
    </row>
    <row r="27" spans="1:8" ht="15.75">
      <c r="A27" s="109" t="str">
        <f>IF(inputPrYr!$B31&gt;"  ",(inputPrYr!$B31),"  ")</f>
        <v>  </v>
      </c>
      <c r="B27" s="253" t="str">
        <f>IF('levy page11'!$C$77&gt;0,'levy page11'!$C$77,"  ")</f>
        <v>  </v>
      </c>
      <c r="C27" s="443" t="str">
        <f>IF(inputPrYr!D97&gt;0,inputPrYr!D97,"  ")</f>
        <v>  </v>
      </c>
      <c r="D27" s="253" t="str">
        <f>IF('levy page11'!$D$77&gt;0,'levy page11'!$D$77,"  ")</f>
        <v>  </v>
      </c>
      <c r="E27" s="443" t="str">
        <f>IF(inputOth!D37&gt;0,inputOth!D37,"  ")</f>
        <v>  </v>
      </c>
      <c r="F27" s="253" t="str">
        <f>IF('levy page11'!$E$77&gt;0,'levy page11'!$E$77,"  ")</f>
        <v>  </v>
      </c>
      <c r="G27" s="253" t="str">
        <f>IF('levy page11'!$E$84&lt;&gt;0,'levy page11'!$E$84,"  ")</f>
        <v>  </v>
      </c>
      <c r="H27" s="443" t="str">
        <f>IF('levy page11'!E84&lt;&gt;0,ROUND(G27/$F$61*1000,3),"  ")</f>
        <v>  </v>
      </c>
    </row>
    <row r="28" spans="1:8" ht="15.75">
      <c r="A28" s="109" t="str">
        <f>IF(inputPrYr!$B32&gt;"  ",(inputPrYr!$B32),"  ")</f>
        <v>  </v>
      </c>
      <c r="B28" s="253" t="str">
        <f>IF('levy page12'!$C$35&gt;0,'levy page12'!$C$35,"  ")</f>
        <v>  </v>
      </c>
      <c r="C28" s="443" t="str">
        <f>IF(inputPrYr!D98&gt;0,inputPrYr!D98,"  ")</f>
        <v>  </v>
      </c>
      <c r="D28" s="253" t="str">
        <f>IF('levy page12'!$D$35&gt;0,'levy page12'!$D$35,"  ")</f>
        <v>  </v>
      </c>
      <c r="E28" s="443" t="str">
        <f>IF(inputOth!D38&gt;0,inputOth!D38,"  ")</f>
        <v>  </v>
      </c>
      <c r="F28" s="253" t="str">
        <f>IF('levy page12'!$E$35&gt;0,'levy page12'!$E$35,"  ")</f>
        <v>  </v>
      </c>
      <c r="G28" s="253" t="str">
        <f>IF('levy page12'!$E$42&lt;&gt;0,'levy page12'!$E$42,"  ")</f>
        <v>  </v>
      </c>
      <c r="H28" s="443" t="str">
        <f>IF('levy page12'!E42&lt;&gt;0,ROUND(G28/$F$61*1000,3),"  ")</f>
        <v>  </v>
      </c>
    </row>
    <row r="29" spans="1:8" ht="15.75">
      <c r="A29" s="109" t="str">
        <f>IF(inputPrYr!$B33&gt;"  ",(inputPrYr!$B33),"  ")</f>
        <v>  </v>
      </c>
      <c r="B29" s="253" t="str">
        <f>IF('levy page12'!$C$77&gt;0,'levy page12'!$C$77,"  ")</f>
        <v>  </v>
      </c>
      <c r="C29" s="443" t="str">
        <f>IF(inputPrYr!D99&gt;0,inputPrYr!D99,"  ")</f>
        <v>  </v>
      </c>
      <c r="D29" s="253" t="str">
        <f>IF('levy page12'!$D$77&gt;0,'levy page12'!$D$77,"  ")</f>
        <v>  </v>
      </c>
      <c r="E29" s="443" t="str">
        <f>IF(inputOth!D39&gt;0,inputOth!D39,"  ")</f>
        <v>  </v>
      </c>
      <c r="F29" s="253" t="str">
        <f>IF('levy page12'!$E$77&gt;0,'levy page12'!$E$77,"  ")</f>
        <v>  </v>
      </c>
      <c r="G29" s="253" t="str">
        <f>IF('levy page12'!$E$84&lt;&gt;0,'levy page12'!$E$84,"  ")</f>
        <v>  </v>
      </c>
      <c r="H29" s="443" t="str">
        <f>IF('levy page12'!E84&lt;&gt;0,ROUND(G29/$F$61*1000,3),"  ")</f>
        <v>  </v>
      </c>
    </row>
    <row r="30" spans="1:8" ht="15.75">
      <c r="A30" s="109" t="str">
        <f>IF(inputPrYr!$B34&gt;"  ",(inputPrYr!$B34),"  ")</f>
        <v>  </v>
      </c>
      <c r="B30" s="253" t="str">
        <f>IF('levy page13'!$C$35&gt;0,'levy page13'!$C$35,"  ")</f>
        <v>  </v>
      </c>
      <c r="C30" s="443" t="str">
        <f>IF(inputPrYr!D100&gt;0,inputPrYr!D100,"  ")</f>
        <v>  </v>
      </c>
      <c r="D30" s="253" t="str">
        <f>IF('levy page13'!$D$35&gt;0,'levy page13'!$D$35,"  ")</f>
        <v>  </v>
      </c>
      <c r="E30" s="443" t="str">
        <f>IF(inputOth!D40&gt;0,inputOth!D40,"  ")</f>
        <v>  </v>
      </c>
      <c r="F30" s="253" t="str">
        <f>IF('levy page13'!$E$35&gt;0,'levy page13'!$E$35,"  ")</f>
        <v>  </v>
      </c>
      <c r="G30" s="253" t="str">
        <f>IF('levy page13'!$E$42&lt;&gt;0,'levy page13'!$E$42,"  ")</f>
        <v>  </v>
      </c>
      <c r="H30" s="443" t="str">
        <f>IF('levy page13'!E42&lt;&gt;0,ROUND(G30/$F$61*1000,3),"  ")</f>
        <v>  </v>
      </c>
    </row>
    <row r="31" spans="1:8" ht="15.75">
      <c r="A31" s="109" t="str">
        <f>IF(inputPrYr!B35&gt;"  ",(inputPrYr!B35),"  ")</f>
        <v>  </v>
      </c>
      <c r="B31" s="253" t="str">
        <f>IF('levy page13'!$C$77&gt;0,'levy page13'!$C$77,"  ")</f>
        <v>  </v>
      </c>
      <c r="C31" s="443" t="str">
        <f>IF(inputPrYr!D101&gt;0,inputPrYr!D101,"  ")</f>
        <v>  </v>
      </c>
      <c r="D31" s="253" t="str">
        <f>IF('levy page13'!$D$77&gt;0,'levy page13'!$D$77,"  ")</f>
        <v>  </v>
      </c>
      <c r="E31" s="443" t="str">
        <f>IF(inputOth!D41&gt;0,inputOth!D41,"  ")</f>
        <v>  </v>
      </c>
      <c r="F31" s="253" t="str">
        <f>IF('levy page13'!$E$77&gt;0,'levy page13'!$E$77,"  ")</f>
        <v>  </v>
      </c>
      <c r="G31" s="253" t="str">
        <f>IF('levy page13'!$E$84&lt;&gt;0,'levy page13'!$E$84,"  ")</f>
        <v>  </v>
      </c>
      <c r="H31" s="443" t="str">
        <f>IF('levy page13'!E84&lt;&gt;0,ROUND(G31/$F$61*1000,3),"  ")</f>
        <v>  </v>
      </c>
    </row>
    <row r="32" spans="1:8" ht="15.75">
      <c r="A32" s="109" t="str">
        <f>IF(inputPrYr!$B39&gt;"  ",(inputPrYr!$B39),"  ")</f>
        <v>Special Highway</v>
      </c>
      <c r="B32" s="253" t="str">
        <f>IF('Sp Hiway'!$C$30&gt;0,'Sp Hiway'!$C$30,"  ")</f>
        <v>  </v>
      </c>
      <c r="C32" s="179"/>
      <c r="D32" s="253" t="str">
        <f>IF('Sp Hiway'!$D$30&gt;0,'Sp Hiway'!$D$30,"  ")</f>
        <v>  </v>
      </c>
      <c r="E32" s="179"/>
      <c r="F32" s="253" t="str">
        <f>IF('Sp Hiway'!$E$30&gt;0,'Sp Hiway'!$E$30,"  ")</f>
        <v>  </v>
      </c>
      <c r="G32" s="253"/>
      <c r="H32" s="443"/>
    </row>
    <row r="33" spans="1:8" ht="15.75">
      <c r="A33" s="109" t="str">
        <f>IF(inputPrYr!$B40&gt;"  ",(inputPrYr!$B40),"  ")</f>
        <v>  </v>
      </c>
      <c r="B33" s="253" t="str">
        <f>IF('Sp Hiway'!$C$63&gt;0,'Sp Hiway'!$C$63,"  ")</f>
        <v>  </v>
      </c>
      <c r="C33" s="179"/>
      <c r="D33" s="253" t="str">
        <f>IF('Sp Hiway'!$D$63&gt;0,'Sp Hiway'!$D$63,"  ")</f>
        <v>  </v>
      </c>
      <c r="E33" s="179"/>
      <c r="F33" s="253" t="str">
        <f>IF('Sp Hiway'!$E$63&gt;0,'Sp Hiway'!$E$63,"  ")</f>
        <v>  </v>
      </c>
      <c r="G33" s="253"/>
      <c r="H33" s="443"/>
    </row>
    <row r="34" spans="1:8" ht="15.75">
      <c r="A34" s="109" t="str">
        <f>IF(inputPrYr!$B41&gt;"  ",(inputPrYr!$B41),"  ")</f>
        <v>  </v>
      </c>
      <c r="B34" s="253" t="str">
        <f>IF('no levy page15'!$C$30&gt;0,'no levy page15'!$C$30,"  ")</f>
        <v>  </v>
      </c>
      <c r="C34" s="179"/>
      <c r="D34" s="253" t="str">
        <f>IF('no levy page15'!$D$30&gt;0,'no levy page15'!$D$30,"  ")</f>
        <v>  </v>
      </c>
      <c r="E34" s="179"/>
      <c r="F34" s="253" t="str">
        <f>IF('no levy page15'!$E$30&gt;0,'no levy page15'!$E$30,"  ")</f>
        <v>  </v>
      </c>
      <c r="G34" s="253"/>
      <c r="H34" s="443"/>
    </row>
    <row r="35" spans="1:8" ht="15.75">
      <c r="A35" s="109" t="str">
        <f>IF(inputPrYr!$B42&gt;"  ",(inputPrYr!$B42),"  ")</f>
        <v>  </v>
      </c>
      <c r="B35" s="253" t="str">
        <f>IF('no levy page15'!$C$63&gt;0,'no levy page15'!$C$63,"  ")</f>
        <v>  </v>
      </c>
      <c r="C35" s="179"/>
      <c r="D35" s="253" t="str">
        <f>IF('no levy page15'!$D$63&gt;0,'no levy page15'!$D$63,"  ")</f>
        <v>  </v>
      </c>
      <c r="E35" s="179"/>
      <c r="F35" s="253" t="str">
        <f>IF('no levy page15'!$E$63&gt;0,'no levy page15'!$E$63,"  ")</f>
        <v>  </v>
      </c>
      <c r="G35" s="253"/>
      <c r="H35" s="443"/>
    </row>
    <row r="36" spans="1:8" ht="15.75">
      <c r="A36" s="109" t="str">
        <f>IF(inputPrYr!$B43&gt;"  ",(inputPrYr!$B43),"  ")</f>
        <v>  </v>
      </c>
      <c r="B36" s="253" t="str">
        <f>IF('no levy page16'!$C$30&gt;0,'no levy page16'!$C$30,"  ")</f>
        <v>  </v>
      </c>
      <c r="C36" s="179"/>
      <c r="D36" s="253" t="str">
        <f>IF('no levy page16'!$D$30&gt;0,'no levy page16'!$D$30,"  ")</f>
        <v>  </v>
      </c>
      <c r="E36" s="179"/>
      <c r="F36" s="253" t="str">
        <f>IF('no levy page16'!$E$30&gt;0,'no levy page16'!$E$30,"  ")</f>
        <v>  </v>
      </c>
      <c r="G36" s="253"/>
      <c r="H36" s="179"/>
    </row>
    <row r="37" spans="1:8" ht="15.75">
      <c r="A37" s="109" t="str">
        <f>IF(inputPrYr!$B44&gt;"  ",(inputPrYr!$B44),"  ")</f>
        <v>  </v>
      </c>
      <c r="B37" s="253" t="str">
        <f>IF('no levy page16'!$C$63&gt;0,'no levy page16'!$C$63,"  ")</f>
        <v>  </v>
      </c>
      <c r="C37" s="179"/>
      <c r="D37" s="253" t="str">
        <f>IF('no levy page16'!$D$63&gt;0,'no levy page16'!$D$63,"  ")</f>
        <v>  </v>
      </c>
      <c r="E37" s="179"/>
      <c r="F37" s="253" t="str">
        <f>IF('no levy page16'!$E$63&gt;0,'no levy page16'!$E$63,"  ")</f>
        <v>  </v>
      </c>
      <c r="G37" s="253"/>
      <c r="H37" s="179"/>
    </row>
    <row r="38" spans="1:8" ht="15.75">
      <c r="A38" s="109" t="str">
        <f>IF(inputPrYr!$B45&gt;"  ",(inputPrYr!$B45),"  ")</f>
        <v>  </v>
      </c>
      <c r="B38" s="253" t="str">
        <f>IF('no levy page17'!$C$30&gt;0,'no levy page17'!$C$30,"  ")</f>
        <v>  </v>
      </c>
      <c r="C38" s="179"/>
      <c r="D38" s="253" t="str">
        <f>IF('no levy page17'!$D$30&gt;0,'no levy page17'!$D$30,"  ")</f>
        <v>  </v>
      </c>
      <c r="E38" s="179"/>
      <c r="F38" s="253" t="str">
        <f>IF('no levy page17'!$E$30&gt;0,'no levy page17'!$E$30,"  ")</f>
        <v>  </v>
      </c>
      <c r="G38" s="253"/>
      <c r="H38" s="179"/>
    </row>
    <row r="39" spans="1:8" ht="15.75">
      <c r="A39" s="109" t="str">
        <f>IF(inputPrYr!$B46&gt;"  ",(inputPrYr!$B46),"  ")</f>
        <v>  </v>
      </c>
      <c r="B39" s="253" t="str">
        <f>IF('no levy page17'!$C$63&gt;0,'no levy page17'!$C$63,"  ")</f>
        <v>  </v>
      </c>
      <c r="C39" s="179"/>
      <c r="D39" s="253" t="str">
        <f>IF('no levy page17'!$D$63&gt;0,'no levy page17'!$D$63,"  ")</f>
        <v>  </v>
      </c>
      <c r="E39" s="179"/>
      <c r="F39" s="253" t="str">
        <f>IF('no levy page17'!$E$63&gt;0,'no levy page17'!$E$63,"  ")</f>
        <v>  </v>
      </c>
      <c r="G39" s="253"/>
      <c r="H39" s="179"/>
    </row>
    <row r="40" spans="1:8" ht="15.75">
      <c r="A40" s="109" t="str">
        <f>IF(inputPrYr!$B47&gt;"  ",(inputPrYr!$B47),"  ")</f>
        <v>  </v>
      </c>
      <c r="B40" s="253" t="str">
        <f>IF('no levy page18'!$C$30&gt;0,'no levy page18'!$C$30,"  ")</f>
        <v>  </v>
      </c>
      <c r="C40" s="179"/>
      <c r="D40" s="253" t="str">
        <f>IF('no levy page18'!$D$30&gt;0,'no levy page18'!$D$30,"  ")</f>
        <v>  </v>
      </c>
      <c r="E40" s="179"/>
      <c r="F40" s="253" t="str">
        <f>IF('no levy page18'!$E$30&gt;0,'no levy page18'!$E$30,"  ")</f>
        <v>  </v>
      </c>
      <c r="G40" s="253"/>
      <c r="H40" s="179"/>
    </row>
    <row r="41" spans="1:8" ht="15.75">
      <c r="A41" s="109" t="str">
        <f>IF(inputPrYr!$B48&gt;"  ",(inputPrYr!$B48),"  ")</f>
        <v>  </v>
      </c>
      <c r="B41" s="253" t="str">
        <f>IF('no levy page18'!$C$63&gt;0,'no levy page18'!$C$63,"  ")</f>
        <v>  </v>
      </c>
      <c r="C41" s="179"/>
      <c r="D41" s="253" t="str">
        <f>IF('no levy page18'!$D$63&gt;0,'no levy page18'!$D$63,"  ")</f>
        <v>  </v>
      </c>
      <c r="E41" s="179"/>
      <c r="F41" s="253" t="str">
        <f>IF('no levy page18'!$E$63&gt;0,'no levy page18'!$E$63,"  ")</f>
        <v>  </v>
      </c>
      <c r="G41" s="253"/>
      <c r="H41" s="179"/>
    </row>
    <row r="42" spans="1:8" ht="15.75">
      <c r="A42" s="109" t="str">
        <f>IF(inputPrYr!$B49&gt;"  ",(inputPrYr!$B49),"  ")</f>
        <v>  </v>
      </c>
      <c r="B42" s="253" t="str">
        <f>IF('no levy page19'!$C$30&gt;0,'no levy page19'!$C$30,"  ")</f>
        <v>  </v>
      </c>
      <c r="C42" s="179"/>
      <c r="D42" s="253" t="str">
        <f>IF('no levy page19'!$D$30&gt;0,'no levy page19'!$D$30,"  ")</f>
        <v>  </v>
      </c>
      <c r="E42" s="179"/>
      <c r="F42" s="253" t="str">
        <f>IF('no levy page19'!$E$30&gt;0,'no levy page19'!$E$30,"  ")</f>
        <v>  </v>
      </c>
      <c r="G42" s="253"/>
      <c r="H42" s="179"/>
    </row>
    <row r="43" spans="1:13" ht="15.75">
      <c r="A43" s="109" t="str">
        <f>IF(inputPrYr!$B50&gt;"  ",(inputPrYr!$B50),"  ")</f>
        <v>  </v>
      </c>
      <c r="B43" s="253" t="str">
        <f>IF('no levy page19'!$C$63&gt;0,'no levy page19'!$C$63,"  ")</f>
        <v>  </v>
      </c>
      <c r="C43" s="179"/>
      <c r="D43" s="253" t="str">
        <f>IF('no levy page19'!$D$63&gt;0,'no levy page19'!$D$63,"  ")</f>
        <v>  </v>
      </c>
      <c r="E43" s="179"/>
      <c r="F43" s="253" t="str">
        <f>IF('no levy page19'!$E$63&gt;0,'no levy page19'!$E$63,"  ")</f>
        <v>  </v>
      </c>
      <c r="G43" s="253"/>
      <c r="H43" s="179"/>
      <c r="J43" s="1004" t="str">
        <f>CONCATENATE("Estimated Value Of One Mill For ",H2,"")</f>
        <v>Estimated Value Of One Mill For 0</v>
      </c>
      <c r="K43" s="1005"/>
      <c r="L43" s="1005"/>
      <c r="M43" s="1006"/>
    </row>
    <row r="44" spans="1:13" ht="15.75">
      <c r="A44" s="109" t="str">
        <f>IF(inputPrYr!$B51&gt;"  ",(inputPrYr!$B51),"  ")</f>
        <v>  </v>
      </c>
      <c r="B44" s="253" t="str">
        <f>IF('no levy page20'!$C$30&gt;0,'no levy page20'!$C$30,"  ")</f>
        <v>  </v>
      </c>
      <c r="C44" s="179"/>
      <c r="D44" s="253" t="str">
        <f>IF('no levy page20'!$D$30&gt;0,'no levy page20'!$D$30,"  ")</f>
        <v>  </v>
      </c>
      <c r="E44" s="179"/>
      <c r="F44" s="253" t="str">
        <f>IF('no levy page20'!$E$30&gt;0,'no levy page20'!$E$30,"  ")</f>
        <v>  </v>
      </c>
      <c r="G44" s="253"/>
      <c r="H44" s="179"/>
      <c r="J44" s="478"/>
      <c r="K44" s="479"/>
      <c r="L44" s="479"/>
      <c r="M44" s="480"/>
    </row>
    <row r="45" spans="1:13" ht="15.75">
      <c r="A45" s="109" t="str">
        <f>IF(inputPrYr!$B52&gt;"  ",(inputPrYr!$B52),"  ")</f>
        <v>  </v>
      </c>
      <c r="B45" s="253" t="str">
        <f>IF('no levy page20'!$C$63&gt;0,'no levy page20'!$C$63,"  ")</f>
        <v>  </v>
      </c>
      <c r="C45" s="179"/>
      <c r="D45" s="253" t="str">
        <f>IF('no levy page20'!$D$63&gt;0,'no levy page20'!$D$63,"  ")</f>
        <v>  </v>
      </c>
      <c r="E45" s="179"/>
      <c r="F45" s="253" t="str">
        <f>IF('no levy page20'!$E$63&gt;0,'no levy page20'!$E$63,"  ")</f>
        <v>  </v>
      </c>
      <c r="G45" s="253"/>
      <c r="H45" s="179"/>
      <c r="J45" s="481" t="s">
        <v>729</v>
      </c>
      <c r="K45" s="482"/>
      <c r="L45" s="482"/>
      <c r="M45" s="816">
        <f>ROUND(F61/1000,0)</f>
        <v>0</v>
      </c>
    </row>
    <row r="46" spans="1:8" ht="15.75">
      <c r="A46" s="109" t="str">
        <f>IF(inputPrYr!$B53&gt;"  ",(inputPrYr!$B53),"  ")</f>
        <v>  </v>
      </c>
      <c r="B46" s="253" t="str">
        <f>IF('no levy page21'!$C$30&gt;0,'no levy page21'!$C$30,"  ")</f>
        <v>  </v>
      </c>
      <c r="C46" s="179"/>
      <c r="D46" s="253" t="str">
        <f>IF('no levy page21'!$D$30&gt;0,'no levy page21'!$D$30,"  ")</f>
        <v>  </v>
      </c>
      <c r="E46" s="179"/>
      <c r="F46" s="253" t="str">
        <f>IF('no levy page21'!$E$30&gt;0,'no levy page21'!$E$30,"  ")</f>
        <v>  </v>
      </c>
      <c r="G46" s="253"/>
      <c r="H46" s="179"/>
    </row>
    <row r="47" spans="1:13" ht="15.75">
      <c r="A47" s="109" t="str">
        <f>IF(inputPrYr!$B54&gt;"  ",(inputPrYr!$B54),"  ")</f>
        <v>  </v>
      </c>
      <c r="B47" s="253" t="str">
        <f>IF('no levy page21'!$C$63&gt;0,'no levy page21'!$C$63,"  ")</f>
        <v>  </v>
      </c>
      <c r="C47" s="179"/>
      <c r="D47" s="253" t="str">
        <f>IF('no levy page21'!$D$63&gt;0,'no levy page21'!$D$63,"  ")</f>
        <v>  </v>
      </c>
      <c r="E47" s="179"/>
      <c r="F47" s="253" t="str">
        <f>IF('no levy page21'!$E$63&gt;0,'no levy page21'!$E$63,"  ")</f>
        <v>  </v>
      </c>
      <c r="G47" s="253"/>
      <c r="H47" s="179"/>
      <c r="J47" s="1004" t="str">
        <f>CONCATENATE("Want The Mill Rate The Same As For ",H2-1,"?")</f>
        <v>Want The Mill Rate The Same As For -1?</v>
      </c>
      <c r="K47" s="1005"/>
      <c r="L47" s="1005"/>
      <c r="M47" s="1006"/>
    </row>
    <row r="48" spans="1:13" ht="15.75">
      <c r="A48" s="109" t="str">
        <f>IF(inputPrYr!$B56&gt;"  ",(inputPrYr!$B56),"  ")</f>
        <v>  </v>
      </c>
      <c r="B48" s="253" t="str">
        <f>IF(SinNoLevy22!$C$47&gt;0,SinNoLevy22!$C$47,"  ")</f>
        <v>  </v>
      </c>
      <c r="C48" s="179"/>
      <c r="D48" s="253" t="str">
        <f>IF(SinNoLevy22!$D$47&gt;0,SinNoLevy22!$D$47,"  ")</f>
        <v>  </v>
      </c>
      <c r="E48" s="179"/>
      <c r="F48" s="253" t="str">
        <f>IF(SinNoLevy22!$E$47&gt;0,SinNoLevy22!$E$47,"  ")</f>
        <v>  </v>
      </c>
      <c r="G48" s="253"/>
      <c r="H48" s="179"/>
      <c r="J48" s="485"/>
      <c r="K48" s="479"/>
      <c r="L48" s="479"/>
      <c r="M48" s="486"/>
    </row>
    <row r="49" spans="1:13" ht="15.75">
      <c r="A49" s="109" t="str">
        <f>IF(inputPrYr!$B57&gt;"  ",(inputPrYr!$B57),"  ")</f>
        <v>  </v>
      </c>
      <c r="B49" s="253" t="str">
        <f>IF(SinNoLevy23!$C$47&gt;0,SinNoLevy23!$C$47,"  ")</f>
        <v>  </v>
      </c>
      <c r="C49" s="179"/>
      <c r="D49" s="253" t="str">
        <f>IF(SinNoLevy23!$D$47&gt;0,SinNoLevy23!$D$47,"  ")</f>
        <v>  </v>
      </c>
      <c r="E49" s="179"/>
      <c r="F49" s="253" t="str">
        <f>IF(SinNoLevy23!$E$47&gt;0,SinNoLevy23!$E$47,"  ")</f>
        <v>  </v>
      </c>
      <c r="G49" s="253"/>
      <c r="H49" s="179"/>
      <c r="J49" s="485" t="str">
        <f>CONCATENATE("",H2-1," Mill Rate Was:")</f>
        <v>-1 Mill Rate Was:</v>
      </c>
      <c r="K49" s="479"/>
      <c r="L49" s="479"/>
      <c r="M49" s="487">
        <f>E56</f>
        <v>0</v>
      </c>
    </row>
    <row r="50" spans="1:13" ht="15.75">
      <c r="A50" s="109" t="str">
        <f>IF(inputPrYr!$B58&gt;"  ",(inputPrYr!$B58),"  ")</f>
        <v>  </v>
      </c>
      <c r="B50" s="253" t="str">
        <f>IF(SinNoLevy24!$C$47&gt;0,SinNoLevy24!$C$47,"  ")</f>
        <v>  </v>
      </c>
      <c r="C50" s="179"/>
      <c r="D50" s="253" t="str">
        <f>IF(SinNoLevy24!$D$47&gt;0,SinNoLevy24!$D$47,"  ")</f>
        <v>  </v>
      </c>
      <c r="E50" s="179"/>
      <c r="F50" s="253" t="str">
        <f>IF(SinNoLevy24!$E$47&gt;0,SinNoLevy24!$E$47,"  ")</f>
        <v>  </v>
      </c>
      <c r="G50" s="253"/>
      <c r="H50" s="179"/>
      <c r="J50" s="488" t="str">
        <f>CONCATENATE("",H2," Tax Levy Fund Expenditures Must Be")</f>
        <v>0 Tax Levy Fund Expenditures Must Be</v>
      </c>
      <c r="K50" s="489"/>
      <c r="L50" s="489"/>
      <c r="M50" s="486"/>
    </row>
    <row r="51" spans="1:13" ht="15.75">
      <c r="A51" s="109" t="str">
        <f>IF(inputPrYr!$B59&gt;"  ",(inputPrYr!$B59),"  ")</f>
        <v>  </v>
      </c>
      <c r="B51" s="253" t="str">
        <f>IF(SinNoLevy25!$C$47&gt;0,SinNoLevy25!$C$47,"  ")</f>
        <v>  </v>
      </c>
      <c r="C51" s="179"/>
      <c r="D51" s="253" t="str">
        <f>IF(SinNoLevy25!$D$47&gt;0,SinNoLevy25!$D$47,"  ")</f>
        <v>  </v>
      </c>
      <c r="E51" s="179"/>
      <c r="F51" s="253" t="str">
        <f>IF(SinNoLevy25!$E$47&gt;0,SinNoLevy25!$E$47,"  ")</f>
        <v>  </v>
      </c>
      <c r="G51" s="253"/>
      <c r="H51" s="179"/>
      <c r="J51" s="488">
        <f>IF(M51&gt;0,"Increased By:","")</f>
      </c>
      <c r="K51" s="489"/>
      <c r="L51" s="489"/>
      <c r="M51" s="560">
        <f>IF(M58&lt;0,M58*-1,0)</f>
        <v>0</v>
      </c>
    </row>
    <row r="52" spans="1:13" ht="15.75" customHeight="1">
      <c r="A52" s="109" t="str">
        <f>IF(inputPrYr!$B62&gt;"  ",(NonBudA!$A3),"  ")</f>
        <v>  </v>
      </c>
      <c r="B52" s="253" t="str">
        <f>IF(NonBudA!$K$28&gt;0,NonBudA!$K$28,"  ")</f>
        <v>  </v>
      </c>
      <c r="C52" s="179"/>
      <c r="D52" s="253"/>
      <c r="E52" s="179"/>
      <c r="F52" s="253"/>
      <c r="G52" s="253"/>
      <c r="H52" s="179"/>
      <c r="J52" s="561">
        <f>IF(M52&lt;0,"Reduced By:","")</f>
      </c>
      <c r="K52" s="562"/>
      <c r="L52" s="562"/>
      <c r="M52" s="563">
        <f>IF(M58&gt;0,M58*-1,0)</f>
        <v>0</v>
      </c>
    </row>
    <row r="53" spans="1:13" ht="15.75">
      <c r="A53" s="109" t="str">
        <f>IF(inputPrYr!$B68&gt;"  ",(NonBudB!$A3),"  ")</f>
        <v>  </v>
      </c>
      <c r="B53" s="253" t="str">
        <f>IF(NonBudB!$K$28&gt;0,NonBudB!$K$28,"  ")</f>
        <v>  </v>
      </c>
      <c r="C53" s="179"/>
      <c r="D53" s="253"/>
      <c r="E53" s="179"/>
      <c r="F53" s="253"/>
      <c r="G53" s="253"/>
      <c r="H53" s="179"/>
      <c r="J53" s="492"/>
      <c r="K53" s="492"/>
      <c r="L53" s="492"/>
      <c r="M53" s="492"/>
    </row>
    <row r="54" spans="1:13" ht="15.75">
      <c r="A54" s="109" t="str">
        <f>IF(inputPrYr!$B74&gt;"  ",(NonBudC!$A3),"  ")</f>
        <v>  </v>
      </c>
      <c r="B54" s="253" t="str">
        <f>IF(NonBudC!$K$28&gt;0,NonBudC!$K$28,"  ")</f>
        <v>  </v>
      </c>
      <c r="C54" s="179"/>
      <c r="D54" s="253"/>
      <c r="E54" s="179"/>
      <c r="F54" s="253"/>
      <c r="G54" s="253"/>
      <c r="H54" s="179"/>
      <c r="J54" s="1004" t="str">
        <f>CONCATENATE("Impact On Keeping The Same Mill Rate As For ",H2-1,"")</f>
        <v>Impact On Keeping The Same Mill Rate As For -1</v>
      </c>
      <c r="K54" s="1007"/>
      <c r="L54" s="1007"/>
      <c r="M54" s="1008"/>
    </row>
    <row r="55" spans="1:13" ht="16.5" thickBot="1">
      <c r="A55" s="109" t="str">
        <f>IF(inputPrYr!$B80&gt;"  ",(NonBudD!$A3),"  ")</f>
        <v>  </v>
      </c>
      <c r="B55" s="499" t="str">
        <f>IF(NonBudD!$K$28&gt;0,NonBudD!$K$28,"  ")</f>
        <v>  </v>
      </c>
      <c r="C55" s="407"/>
      <c r="D55" s="499"/>
      <c r="E55" s="407"/>
      <c r="F55" s="499"/>
      <c r="G55" s="499"/>
      <c r="H55" s="407"/>
      <c r="J55" s="485"/>
      <c r="K55" s="479"/>
      <c r="L55" s="479"/>
      <c r="M55" s="486"/>
    </row>
    <row r="56" spans="1:13" ht="15.75">
      <c r="A56" s="525" t="s">
        <v>738</v>
      </c>
      <c r="B56" s="529">
        <f>SUM(B19:B55)</f>
        <v>0</v>
      </c>
      <c r="C56" s="530">
        <f>SUM(C19:C31)</f>
        <v>0</v>
      </c>
      <c r="D56" s="529">
        <f>SUM(D19:D55)</f>
        <v>0</v>
      </c>
      <c r="E56" s="530">
        <f>SUM(E19:E31)</f>
        <v>0</v>
      </c>
      <c r="F56" s="529">
        <f>SUM(F19:F55)</f>
        <v>0</v>
      </c>
      <c r="G56" s="529">
        <f>SUM(G19:G55)</f>
        <v>0</v>
      </c>
      <c r="H56" s="530">
        <f>SUM(H19:H31)</f>
        <v>0</v>
      </c>
      <c r="J56" s="485" t="str">
        <f>CONCATENATE("",H2," Ad Valorem Tax Revenue:")</f>
        <v>0 Ad Valorem Tax Revenue:</v>
      </c>
      <c r="K56" s="479"/>
      <c r="L56" s="479"/>
      <c r="M56" s="480">
        <f>G56</f>
        <v>0</v>
      </c>
    </row>
    <row r="57" spans="1:13" ht="15.75">
      <c r="A57" s="84" t="s">
        <v>292</v>
      </c>
      <c r="B57" s="445">
        <f>transfers!$C$28</f>
        <v>0</v>
      </c>
      <c r="C57" s="517"/>
      <c r="D57" s="445">
        <f>transfers!$D$28</f>
        <v>0</v>
      </c>
      <c r="E57" s="517"/>
      <c r="F57" s="445">
        <f>transfers!$E$28</f>
        <v>0</v>
      </c>
      <c r="G57" s="446"/>
      <c r="H57" s="526"/>
      <c r="I57" s="447"/>
      <c r="J57" s="485" t="str">
        <f>CONCATENATE("",H2-1," Ad Valorem Tax Revenue:")</f>
        <v>-1 Ad Valorem Tax Revenue:</v>
      </c>
      <c r="K57" s="479"/>
      <c r="L57" s="479"/>
      <c r="M57" s="493">
        <f>ROUND(F61*M49/1000,0)</f>
        <v>0</v>
      </c>
    </row>
    <row r="58" spans="1:13" ht="16.5" thickBot="1">
      <c r="A58" s="84" t="s">
        <v>293</v>
      </c>
      <c r="B58" s="255">
        <f>B56-B57</f>
        <v>0</v>
      </c>
      <c r="C58" s="142"/>
      <c r="D58" s="255">
        <f>D56-D57</f>
        <v>0</v>
      </c>
      <c r="E58" s="444"/>
      <c r="F58" s="255">
        <f>F56-F57</f>
        <v>0</v>
      </c>
      <c r="G58" s="81"/>
      <c r="H58" s="81"/>
      <c r="J58" s="490" t="s">
        <v>730</v>
      </c>
      <c r="K58" s="491"/>
      <c r="L58" s="491"/>
      <c r="M58" s="483">
        <f>SUM(M56-M57)</f>
        <v>0</v>
      </c>
    </row>
    <row r="59" spans="1:13" ht="16.5" thickTop="1">
      <c r="A59" s="84" t="s">
        <v>294</v>
      </c>
      <c r="B59" s="445">
        <f>inputPrYr!$E$104</f>
        <v>0</v>
      </c>
      <c r="C59" s="442"/>
      <c r="D59" s="445">
        <f>inputPrYr!$E$36</f>
        <v>0</v>
      </c>
      <c r="E59" s="442"/>
      <c r="F59" s="244" t="s">
        <v>254</v>
      </c>
      <c r="G59" s="446"/>
      <c r="H59" s="442"/>
      <c r="J59" s="484"/>
      <c r="K59" s="484"/>
      <c r="L59" s="484"/>
      <c r="M59" s="492"/>
    </row>
    <row r="60" spans="1:13" ht="15.75">
      <c r="A60" s="84" t="s">
        <v>295</v>
      </c>
      <c r="B60" s="470"/>
      <c r="C60" s="142"/>
      <c r="D60" s="470"/>
      <c r="E60" s="142"/>
      <c r="F60" s="208"/>
      <c r="G60" s="308"/>
      <c r="H60" s="142"/>
      <c r="J60" s="1004" t="s">
        <v>731</v>
      </c>
      <c r="K60" s="1009"/>
      <c r="L60" s="1009"/>
      <c r="M60" s="1010"/>
    </row>
    <row r="61" spans="1:13" ht="15.75">
      <c r="A61" s="84" t="s">
        <v>296</v>
      </c>
      <c r="B61" s="445">
        <f>inputPrYr!$E$105</f>
        <v>0</v>
      </c>
      <c r="C61" s="142"/>
      <c r="D61" s="445">
        <f>inputOth!$D$50</f>
        <v>0</v>
      </c>
      <c r="E61" s="142"/>
      <c r="F61" s="445">
        <f>inputOth!$B$14</f>
        <v>0</v>
      </c>
      <c r="G61" s="142"/>
      <c r="H61" s="142"/>
      <c r="J61" s="485"/>
      <c r="K61" s="479"/>
      <c r="L61" s="479"/>
      <c r="M61" s="486"/>
    </row>
    <row r="62" spans="1:13" ht="15.75">
      <c r="A62" s="84" t="s">
        <v>297</v>
      </c>
      <c r="B62" s="81"/>
      <c r="C62" s="81"/>
      <c r="D62" s="81"/>
      <c r="E62" s="81"/>
      <c r="F62" s="81"/>
      <c r="G62" s="142"/>
      <c r="H62" s="142"/>
      <c r="J62" s="485" t="str">
        <f>CONCATENATE("Current ",H2," Estimated Mill Rate:")</f>
        <v>Current 0 Estimated Mill Rate:</v>
      </c>
      <c r="K62" s="479"/>
      <c r="L62" s="479"/>
      <c r="M62" s="487">
        <f>H56</f>
        <v>0</v>
      </c>
    </row>
    <row r="63" spans="1:13" ht="15.75">
      <c r="A63" s="84" t="s">
        <v>298</v>
      </c>
      <c r="B63" s="245">
        <f>$H$2-3</f>
        <v>-3</v>
      </c>
      <c r="C63" s="81"/>
      <c r="D63" s="245">
        <f>$H$2-2</f>
        <v>-2</v>
      </c>
      <c r="E63" s="81"/>
      <c r="F63" s="245">
        <f>$H$2-1</f>
        <v>-1</v>
      </c>
      <c r="G63" s="142"/>
      <c r="H63" s="142"/>
      <c r="J63" s="485" t="str">
        <f>CONCATENATE("Desired ",H2," Mill Rate:")</f>
        <v>Desired 0 Mill Rate:</v>
      </c>
      <c r="K63" s="479"/>
      <c r="L63" s="479"/>
      <c r="M63" s="494">
        <v>35</v>
      </c>
    </row>
    <row r="64" spans="1:13" ht="15.75" customHeight="1">
      <c r="A64" s="84" t="s">
        <v>299</v>
      </c>
      <c r="B64" s="253">
        <f>inputPrYr!$D$109</f>
        <v>0</v>
      </c>
      <c r="C64" s="142"/>
      <c r="D64" s="253">
        <f>inputPrYr!$E$109</f>
        <v>0</v>
      </c>
      <c r="E64" s="142"/>
      <c r="F64" s="253">
        <f>debt!$G$20</f>
        <v>0</v>
      </c>
      <c r="G64" s="81"/>
      <c r="H64" s="81"/>
      <c r="J64" s="485" t="str">
        <f>CONCATENATE("",H2," Ad Valorem Tax:")</f>
        <v>0 Ad Valorem Tax:</v>
      </c>
      <c r="K64" s="479"/>
      <c r="L64" s="479"/>
      <c r="M64" s="493">
        <f>ROUND(F61*M63/1000,0)</f>
        <v>0</v>
      </c>
    </row>
    <row r="65" spans="1:13" ht="15.75" customHeight="1">
      <c r="A65" s="84" t="s">
        <v>300</v>
      </c>
      <c r="B65" s="445">
        <f>inputPrYr!$D$110</f>
        <v>0</v>
      </c>
      <c r="C65" s="142"/>
      <c r="D65" s="445">
        <f>inputPrYr!$E$110</f>
        <v>0</v>
      </c>
      <c r="E65" s="142"/>
      <c r="F65" s="253">
        <f>debt!$G$32</f>
        <v>0</v>
      </c>
      <c r="G65" s="81"/>
      <c r="H65" s="81"/>
      <c r="J65" s="490" t="str">
        <f>CONCATENATE("",H2," Tax Levy Fund Exp. Changed By:")</f>
        <v>0 Tax Levy Fund Exp. Changed By:</v>
      </c>
      <c r="K65" s="491"/>
      <c r="L65" s="491"/>
      <c r="M65" s="483">
        <f>IF(M63=0,0,(M64-G56))</f>
        <v>0</v>
      </c>
    </row>
    <row r="66" spans="1:8" ht="15.75" customHeight="1">
      <c r="A66" s="81" t="s">
        <v>318</v>
      </c>
      <c r="B66" s="445">
        <f>inputPrYr!$D$111</f>
        <v>0</v>
      </c>
      <c r="C66" s="142"/>
      <c r="D66" s="445">
        <f>inputPrYr!$E$111</f>
        <v>0</v>
      </c>
      <c r="E66" s="142"/>
      <c r="F66" s="253">
        <f>debt!$G$42</f>
        <v>0</v>
      </c>
      <c r="G66" s="81"/>
      <c r="H66" s="81"/>
    </row>
    <row r="67" spans="1:8" ht="15.75" customHeight="1">
      <c r="A67" s="84" t="s">
        <v>55</v>
      </c>
      <c r="B67" s="445">
        <f>inputPrYr!$D$112</f>
        <v>0</v>
      </c>
      <c r="C67" s="142"/>
      <c r="D67" s="445">
        <f>inputPrYr!$E$112</f>
        <v>0</v>
      </c>
      <c r="E67" s="142"/>
      <c r="F67" s="253">
        <f>lpform!$G$28</f>
        <v>0</v>
      </c>
      <c r="G67" s="81"/>
      <c r="H67" s="81"/>
    </row>
    <row r="68" spans="1:8" ht="18.75" customHeight="1" thickBot="1">
      <c r="A68" s="84" t="s">
        <v>301</v>
      </c>
      <c r="B68" s="497">
        <f>SUM(B64:B67)</f>
        <v>0</v>
      </c>
      <c r="C68" s="142"/>
      <c r="D68" s="497">
        <f>SUM(D64:D67)</f>
        <v>0</v>
      </c>
      <c r="E68" s="142"/>
      <c r="F68" s="497">
        <f>SUM(F64:F67)</f>
        <v>0</v>
      </c>
      <c r="G68" s="81"/>
      <c r="H68" s="81"/>
    </row>
    <row r="69" spans="1:8" ht="18.75" customHeight="1" thickTop="1">
      <c r="A69" s="84" t="s">
        <v>302</v>
      </c>
      <c r="B69" s="81"/>
      <c r="C69" s="81"/>
      <c r="D69" s="81"/>
      <c r="E69" s="81"/>
      <c r="F69" s="81"/>
      <c r="G69" s="81"/>
      <c r="H69" s="81"/>
    </row>
    <row r="70" spans="1:8" ht="18" customHeight="1">
      <c r="A70" s="84"/>
      <c r="B70" s="102"/>
      <c r="C70" s="81"/>
      <c r="D70" s="81"/>
      <c r="E70" s="81"/>
      <c r="F70" s="81"/>
      <c r="G70" s="81"/>
      <c r="H70" s="81"/>
    </row>
    <row r="71" spans="1:8" ht="19.5" customHeight="1">
      <c r="A71" s="1015">
        <f>inputBudSum!B3</f>
        <v>0</v>
      </c>
      <c r="B71" s="1016"/>
      <c r="C71" s="518"/>
      <c r="D71" s="81"/>
      <c r="E71" s="81"/>
      <c r="F71" s="81"/>
      <c r="G71" s="81"/>
      <c r="H71" s="81"/>
    </row>
    <row r="72" spans="1:8" ht="18.75" customHeight="1">
      <c r="A72" s="1014" t="str">
        <f>CONCATENATE("City Official Title: ",inputBudSum!B5,"")</f>
        <v>City Official Title: </v>
      </c>
      <c r="B72" s="998"/>
      <c r="C72" s="102"/>
      <c r="D72" s="81"/>
      <c r="E72" s="81"/>
      <c r="F72" s="81"/>
      <c r="G72" s="81"/>
      <c r="H72" s="81"/>
    </row>
    <row r="73" spans="1:8" ht="15.75">
      <c r="A73" s="191"/>
      <c r="B73" s="1012"/>
      <c r="C73" s="1013"/>
      <c r="D73" s="81"/>
      <c r="E73" s="81"/>
      <c r="F73" s="81"/>
      <c r="G73" s="81"/>
      <c r="H73" s="81"/>
    </row>
    <row r="74" spans="1:8" ht="15.75">
      <c r="A74" s="1011"/>
      <c r="B74" s="1011"/>
      <c r="C74" s="161" t="s">
        <v>275</v>
      </c>
      <c r="D74" s="839"/>
      <c r="E74" s="81"/>
      <c r="F74" s="81"/>
      <c r="G74" s="81"/>
      <c r="H74" s="81"/>
    </row>
    <row r="75" spans="1:8" ht="15.75">
      <c r="A75" s="528"/>
      <c r="B75" s="527"/>
      <c r="C75" s="518"/>
      <c r="D75" s="81"/>
      <c r="E75" s="81"/>
      <c r="F75" s="81"/>
      <c r="G75" s="81"/>
      <c r="H75" s="81"/>
    </row>
    <row r="76" spans="1:8" ht="15.75">
      <c r="A76" s="81"/>
      <c r="B76" s="81"/>
      <c r="C76" s="81"/>
      <c r="D76" s="81"/>
      <c r="E76" s="81"/>
      <c r="F76" s="81"/>
      <c r="G76" s="81"/>
      <c r="H76" s="81"/>
    </row>
  </sheetData>
  <sheetProtection sheet="1"/>
  <mergeCells count="16">
    <mergeCell ref="A9:H9"/>
    <mergeCell ref="A10:H10"/>
    <mergeCell ref="A1:H1"/>
    <mergeCell ref="A4:H4"/>
    <mergeCell ref="A5:H5"/>
    <mergeCell ref="A6:H6"/>
    <mergeCell ref="A7:H7"/>
    <mergeCell ref="A3:H3"/>
    <mergeCell ref="J43:M43"/>
    <mergeCell ref="J47:M47"/>
    <mergeCell ref="J54:M54"/>
    <mergeCell ref="J60:M60"/>
    <mergeCell ref="A74:B74"/>
    <mergeCell ref="B73:C73"/>
    <mergeCell ref="A72:B72"/>
    <mergeCell ref="A71:B71"/>
  </mergeCells>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97" sqref="S97"/>
    </sheetView>
  </sheetViews>
  <sheetFormatPr defaultColWidth="8.796875" defaultRowHeight="15"/>
  <cols>
    <col min="1" max="1" width="9.59765625" style="121" customWidth="1"/>
    <col min="2" max="2" width="18.19921875" style="121" customWidth="1"/>
    <col min="3" max="3" width="11.796875" style="121" customWidth="1"/>
    <col min="4" max="4" width="12.796875" style="121" customWidth="1"/>
    <col min="5" max="5" width="11.796875" style="121" customWidth="1"/>
    <col min="6" max="16384" width="8.8984375" style="121" customWidth="1"/>
  </cols>
  <sheetData>
    <row r="1" spans="1:6" ht="15.75">
      <c r="A1" s="205">
        <f>inputPrYr!D3</f>
        <v>0</v>
      </c>
      <c r="B1" s="81"/>
      <c r="C1" s="81"/>
      <c r="D1" s="81"/>
      <c r="E1" s="81"/>
      <c r="F1" s="81">
        <f>inputPrYr!C10</f>
        <v>0</v>
      </c>
    </row>
    <row r="2" spans="1:6" ht="15.75">
      <c r="A2" s="81"/>
      <c r="B2" s="81"/>
      <c r="C2" s="81"/>
      <c r="D2" s="81"/>
      <c r="E2" s="81"/>
      <c r="F2" s="81"/>
    </row>
    <row r="3" spans="1:6" ht="15.75">
      <c r="A3" s="81"/>
      <c r="B3" s="972" t="str">
        <f>CONCATENATE("",F1," Neighborhood Revitalization Rebate")</f>
        <v>0 Neighborhood Revitalization Rebate</v>
      </c>
      <c r="C3" s="1021"/>
      <c r="D3" s="1021"/>
      <c r="E3" s="1021"/>
      <c r="F3" s="81"/>
    </row>
    <row r="4" spans="1:6" ht="15.75">
      <c r="A4" s="81"/>
      <c r="B4" s="81"/>
      <c r="C4" s="81"/>
      <c r="D4" s="81"/>
      <c r="E4" s="81"/>
      <c r="F4" s="81"/>
    </row>
    <row r="5" spans="1:6" ht="51" customHeight="1">
      <c r="A5" s="81"/>
      <c r="B5" s="248" t="str">
        <f>CONCATENATE("Budgeted Funds                     for ",F1,"")</f>
        <v>Budgeted Funds                     for 0</v>
      </c>
      <c r="C5" s="248" t="str">
        <f>CONCATENATE("",F1-1," Ad Valorem before Rebate**")</f>
        <v>-1 Ad Valorem before Rebate**</v>
      </c>
      <c r="D5" s="249" t="str">
        <f>CONCATENATE("",F1-1," Mil Rate before Rebate")</f>
        <v>-1 Mil Rate before Rebate</v>
      </c>
      <c r="E5" s="250" t="str">
        <f>CONCATENATE("Estimate ",F1," NR Rebate")</f>
        <v>Estimate 0 NR Rebate</v>
      </c>
      <c r="F5" s="116"/>
    </row>
    <row r="6" spans="1:6" ht="15.75">
      <c r="A6" s="81"/>
      <c r="B6" s="93" t="str">
        <f>inputPrYr!B22</f>
        <v>General</v>
      </c>
      <c r="C6" s="251"/>
      <c r="D6" s="252">
        <f>IF(C6&gt;0,C6/$D$24,"")</f>
      </c>
      <c r="E6" s="253">
        <f aca="true" t="shared" si="0" ref="E6:E18">IF(C6&gt;0,ROUND(D6*$D$28,0),0)</f>
        <v>0</v>
      </c>
      <c r="F6" s="116"/>
    </row>
    <row r="7" spans="1:6" ht="15.75">
      <c r="A7" s="81"/>
      <c r="B7" s="93" t="str">
        <f>inputPrYr!B23</f>
        <v>Debt Service</v>
      </c>
      <c r="C7" s="251"/>
      <c r="D7" s="252">
        <f aca="true" t="shared" si="1" ref="D7:D17">IF(C7&gt;0,C7/$D$24,"")</f>
      </c>
      <c r="E7" s="253">
        <f t="shared" si="0"/>
        <v>0</v>
      </c>
      <c r="F7" s="116"/>
    </row>
    <row r="8" spans="1:6" ht="15.75">
      <c r="A8" s="81"/>
      <c r="B8" s="109" t="str">
        <f>inputPrYr!B24</f>
        <v>Library</v>
      </c>
      <c r="C8" s="251"/>
      <c r="D8" s="252">
        <f t="shared" si="1"/>
      </c>
      <c r="E8" s="253">
        <f t="shared" si="0"/>
        <v>0</v>
      </c>
      <c r="F8" s="116"/>
    </row>
    <row r="9" spans="1:6" ht="15.75">
      <c r="A9" s="81"/>
      <c r="B9" s="109">
        <f>inputPrYr!B26</f>
        <v>0</v>
      </c>
      <c r="C9" s="251"/>
      <c r="D9" s="252">
        <f t="shared" si="1"/>
      </c>
      <c r="E9" s="253">
        <f t="shared" si="0"/>
        <v>0</v>
      </c>
      <c r="F9" s="116"/>
    </row>
    <row r="10" spans="1:6" ht="15.75">
      <c r="A10" s="81"/>
      <c r="B10" s="109">
        <f>inputPrYr!B27</f>
        <v>0</v>
      </c>
      <c r="C10" s="251"/>
      <c r="D10" s="252">
        <f t="shared" si="1"/>
      </c>
      <c r="E10" s="253">
        <f t="shared" si="0"/>
        <v>0</v>
      </c>
      <c r="F10" s="116"/>
    </row>
    <row r="11" spans="1:6" ht="15.75">
      <c r="A11" s="81"/>
      <c r="B11" s="109">
        <f>inputPrYr!B28</f>
        <v>0</v>
      </c>
      <c r="C11" s="251"/>
      <c r="D11" s="252">
        <f t="shared" si="1"/>
      </c>
      <c r="E11" s="253">
        <f t="shared" si="0"/>
        <v>0</v>
      </c>
      <c r="F11" s="116"/>
    </row>
    <row r="12" spans="1:6" ht="15.75">
      <c r="A12" s="81"/>
      <c r="B12" s="109">
        <f>inputPrYr!B29</f>
        <v>0</v>
      </c>
      <c r="C12" s="254"/>
      <c r="D12" s="252">
        <f t="shared" si="1"/>
      </c>
      <c r="E12" s="253">
        <f t="shared" si="0"/>
        <v>0</v>
      </c>
      <c r="F12" s="116"/>
    </row>
    <row r="13" spans="1:6" ht="15.75">
      <c r="A13" s="81"/>
      <c r="B13" s="109">
        <f>inputPrYr!B30</f>
        <v>0</v>
      </c>
      <c r="C13" s="254"/>
      <c r="D13" s="252">
        <f t="shared" si="1"/>
      </c>
      <c r="E13" s="253">
        <f t="shared" si="0"/>
        <v>0</v>
      </c>
      <c r="F13" s="116"/>
    </row>
    <row r="14" spans="1:6" ht="15.75">
      <c r="A14" s="81"/>
      <c r="B14" s="109">
        <f>inputPrYr!B31</f>
        <v>0</v>
      </c>
      <c r="C14" s="254"/>
      <c r="D14" s="252">
        <f t="shared" si="1"/>
      </c>
      <c r="E14" s="253">
        <f t="shared" si="0"/>
        <v>0</v>
      </c>
      <c r="F14" s="116"/>
    </row>
    <row r="15" spans="1:6" ht="15.75">
      <c r="A15" s="81"/>
      <c r="B15" s="109">
        <f>inputPrYr!B32</f>
        <v>0</v>
      </c>
      <c r="C15" s="254"/>
      <c r="D15" s="252">
        <f t="shared" si="1"/>
      </c>
      <c r="E15" s="253">
        <f t="shared" si="0"/>
        <v>0</v>
      </c>
      <c r="F15" s="116"/>
    </row>
    <row r="16" spans="1:6" ht="15.75">
      <c r="A16" s="81"/>
      <c r="B16" s="109">
        <f>inputPrYr!B33</f>
        <v>0</v>
      </c>
      <c r="C16" s="254"/>
      <c r="D16" s="252">
        <f t="shared" si="1"/>
      </c>
      <c r="E16" s="253">
        <f t="shared" si="0"/>
        <v>0</v>
      </c>
      <c r="F16" s="116"/>
    </row>
    <row r="17" spans="1:6" ht="15.75">
      <c r="A17" s="81"/>
      <c r="B17" s="109">
        <f>inputPrYr!B34</f>
        <v>0</v>
      </c>
      <c r="C17" s="254"/>
      <c r="D17" s="252">
        <f t="shared" si="1"/>
      </c>
      <c r="E17" s="253">
        <f t="shared" si="0"/>
        <v>0</v>
      </c>
      <c r="F17" s="116"/>
    </row>
    <row r="18" spans="1:6" ht="15.75">
      <c r="A18" s="81"/>
      <c r="B18" s="109">
        <f>inputPrYr!B35</f>
        <v>0</v>
      </c>
      <c r="C18" s="254"/>
      <c r="D18" s="252">
        <f>IF(C18&gt;0,C18/$D$24,"")</f>
      </c>
      <c r="E18" s="253">
        <f t="shared" si="0"/>
        <v>0</v>
      </c>
      <c r="F18" s="116"/>
    </row>
    <row r="19" spans="1:6" ht="16.5" thickBot="1">
      <c r="A19" s="81"/>
      <c r="B19" s="94" t="s">
        <v>260</v>
      </c>
      <c r="C19" s="255">
        <f>SUM(C6:C18)</f>
        <v>0</v>
      </c>
      <c r="D19" s="256">
        <f>SUM(D6:D18)</f>
        <v>0</v>
      </c>
      <c r="E19" s="255">
        <f>SUM(E6:E18)</f>
        <v>0</v>
      </c>
      <c r="F19" s="116"/>
    </row>
    <row r="20" spans="1:6" ht="16.5" thickTop="1">
      <c r="A20" s="81"/>
      <c r="B20" s="81"/>
      <c r="C20" s="81"/>
      <c r="D20" s="81"/>
      <c r="E20" s="81"/>
      <c r="F20" s="116"/>
    </row>
    <row r="21" spans="1:6" ht="15.75">
      <c r="A21" s="81"/>
      <c r="B21" s="81"/>
      <c r="C21" s="81"/>
      <c r="D21" s="81"/>
      <c r="E21" s="81"/>
      <c r="F21" s="116"/>
    </row>
    <row r="22" spans="1:6" ht="15.75">
      <c r="A22" s="1022" t="str">
        <f>CONCATENATE("",F1-1," July 1 Valuation:")</f>
        <v>-1 July 1 Valuation:</v>
      </c>
      <c r="B22" s="983"/>
      <c r="C22" s="1022"/>
      <c r="D22" s="246">
        <f>inputOth!B14</f>
        <v>0</v>
      </c>
      <c r="E22" s="81"/>
      <c r="F22" s="116"/>
    </row>
    <row r="23" spans="1:6" ht="15.75">
      <c r="A23" s="81"/>
      <c r="B23" s="81"/>
      <c r="C23" s="81"/>
      <c r="D23" s="81"/>
      <c r="E23" s="81"/>
      <c r="F23" s="116"/>
    </row>
    <row r="24" spans="1:6" ht="15.75">
      <c r="A24" s="81"/>
      <c r="B24" s="1022" t="s">
        <v>334</v>
      </c>
      <c r="C24" s="1022"/>
      <c r="D24" s="257">
        <f>IF(D22&gt;0,(D22*0.001),"")</f>
      </c>
      <c r="E24" s="81"/>
      <c r="F24" s="116"/>
    </row>
    <row r="25" spans="1:6" ht="15.75">
      <c r="A25" s="81"/>
      <c r="B25" s="161"/>
      <c r="C25" s="161"/>
      <c r="D25" s="258"/>
      <c r="E25" s="81"/>
      <c r="F25" s="116"/>
    </row>
    <row r="26" spans="1:6" ht="15.75">
      <c r="A26" s="1020" t="s">
        <v>335</v>
      </c>
      <c r="B26" s="931"/>
      <c r="C26" s="931"/>
      <c r="D26" s="259">
        <f>inputOth!E25</f>
        <v>0</v>
      </c>
      <c r="E26" s="96"/>
      <c r="F26" s="96"/>
    </row>
    <row r="27" spans="1:6" ht="15">
      <c r="A27" s="96"/>
      <c r="B27" s="96"/>
      <c r="C27" s="96"/>
      <c r="D27" s="260"/>
      <c r="E27" s="96"/>
      <c r="F27" s="96"/>
    </row>
    <row r="28" spans="1:6" ht="15.75">
      <c r="A28" s="96"/>
      <c r="B28" s="1020" t="s">
        <v>336</v>
      </c>
      <c r="C28" s="983"/>
      <c r="D28" s="261">
        <f>IF(D26&gt;0,(D26*0.001),"")</f>
      </c>
      <c r="E28" s="96"/>
      <c r="F28" s="96"/>
    </row>
    <row r="29" spans="1:6" ht="15">
      <c r="A29" s="96"/>
      <c r="B29" s="96"/>
      <c r="C29" s="96"/>
      <c r="D29" s="96"/>
      <c r="E29" s="96"/>
      <c r="F29" s="96"/>
    </row>
    <row r="30" spans="1:6" ht="15">
      <c r="A30" s="96"/>
      <c r="B30" s="96"/>
      <c r="C30" s="96"/>
      <c r="D30" s="96"/>
      <c r="E30" s="96"/>
      <c r="F30" s="96"/>
    </row>
    <row r="31" spans="1:6" ht="15">
      <c r="A31" s="96"/>
      <c r="B31" s="96"/>
      <c r="C31" s="96"/>
      <c r="D31" s="96"/>
      <c r="E31" s="96"/>
      <c r="F31" s="96"/>
    </row>
    <row r="32" spans="1:6" ht="15.75">
      <c r="A32" s="384" t="str">
        <f>CONCATENATE("**This information comes from the ",F1," Budget Summary page.  See instructions tab #13 for completing")</f>
        <v>**This information comes from the 0 Budget Summary page.  See instructions tab #13 for completing</v>
      </c>
      <c r="B32" s="96"/>
      <c r="C32" s="96"/>
      <c r="D32" s="96"/>
      <c r="E32" s="96"/>
      <c r="F32" s="96"/>
    </row>
    <row r="33" spans="1:6" ht="15.75">
      <c r="A33" s="384" t="s">
        <v>618</v>
      </c>
      <c r="B33" s="96"/>
      <c r="C33" s="96"/>
      <c r="D33" s="96"/>
      <c r="E33" s="96"/>
      <c r="F33" s="96"/>
    </row>
    <row r="34" spans="1:6" ht="15.75">
      <c r="A34" s="384"/>
      <c r="B34" s="96"/>
      <c r="C34" s="96"/>
      <c r="D34" s="96"/>
      <c r="E34" s="96"/>
      <c r="F34" s="96"/>
    </row>
    <row r="35" spans="1:6" ht="15.75">
      <c r="A35" s="384"/>
      <c r="B35" s="96"/>
      <c r="C35" s="96"/>
      <c r="D35" s="96"/>
      <c r="E35" s="96"/>
      <c r="F35" s="96"/>
    </row>
    <row r="36" spans="1:6" ht="15.75">
      <c r="A36" s="384"/>
      <c r="B36" s="96"/>
      <c r="C36" s="96"/>
      <c r="D36" s="96"/>
      <c r="E36" s="96"/>
      <c r="F36" s="96"/>
    </row>
    <row r="37" spans="1:6" ht="15.75">
      <c r="A37" s="384"/>
      <c r="B37" s="96"/>
      <c r="C37" s="96"/>
      <c r="D37" s="96"/>
      <c r="E37" s="96"/>
      <c r="F37" s="96"/>
    </row>
    <row r="38" spans="1:6" ht="15.75">
      <c r="A38" s="384"/>
      <c r="B38" s="96"/>
      <c r="C38" s="96"/>
      <c r="D38" s="96"/>
      <c r="E38" s="96"/>
      <c r="F38" s="96"/>
    </row>
    <row r="39" spans="1:6" ht="15">
      <c r="A39" s="96"/>
      <c r="B39" s="96"/>
      <c r="C39" s="96"/>
      <c r="D39" s="96"/>
      <c r="E39" s="96"/>
      <c r="F39" s="96"/>
    </row>
    <row r="40" spans="1:6" ht="15.75">
      <c r="A40" s="96"/>
      <c r="B40" s="204" t="s">
        <v>283</v>
      </c>
      <c r="C40" s="839"/>
      <c r="D40" s="96"/>
      <c r="E40" s="96"/>
      <c r="F40" s="96"/>
    </row>
    <row r="41" spans="1:6" ht="15.75">
      <c r="A41" s="116"/>
      <c r="B41" s="81"/>
      <c r="C41" s="81"/>
      <c r="D41" s="262"/>
      <c r="E41" s="116"/>
      <c r="F41" s="116"/>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54" sqref="S54"/>
    </sheetView>
  </sheetViews>
  <sheetFormatPr defaultColWidth="8.796875" defaultRowHeight="15"/>
  <cols>
    <col min="1" max="1" width="13.796875" style="612" customWidth="1"/>
    <col min="2" max="2" width="16.09765625" style="612" customWidth="1"/>
    <col min="3" max="16384" width="8.8984375" style="612" customWidth="1"/>
  </cols>
  <sheetData>
    <row r="1" ht="15">
      <c r="J1" s="613" t="s">
        <v>843</v>
      </c>
    </row>
    <row r="2" spans="1:10" ht="54" customHeight="1">
      <c r="A2" s="946" t="s">
        <v>390</v>
      </c>
      <c r="B2" s="947"/>
      <c r="C2" s="947"/>
      <c r="D2" s="947"/>
      <c r="E2" s="947"/>
      <c r="F2" s="947"/>
      <c r="J2" s="613" t="s">
        <v>844</v>
      </c>
    </row>
    <row r="3" spans="1:10" ht="15.75">
      <c r="A3" s="614" t="s">
        <v>845</v>
      </c>
      <c r="B3" s="750"/>
      <c r="C3" s="751"/>
      <c r="J3" s="613" t="s">
        <v>846</v>
      </c>
    </row>
    <row r="4" spans="1:10" ht="15.75">
      <c r="A4" s="614"/>
      <c r="B4" s="611"/>
      <c r="J4" s="613" t="s">
        <v>847</v>
      </c>
    </row>
    <row r="5" spans="1:10" ht="15.75">
      <c r="A5" s="614" t="s">
        <v>635</v>
      </c>
      <c r="B5" s="752"/>
      <c r="J5" s="613" t="s">
        <v>848</v>
      </c>
    </row>
    <row r="6" spans="1:10" ht="15.75">
      <c r="A6" s="364"/>
      <c r="B6" s="364"/>
      <c r="C6" s="364"/>
      <c r="D6" s="365" t="s">
        <v>849</v>
      </c>
      <c r="E6" s="364"/>
      <c r="F6" s="364"/>
      <c r="J6" s="613" t="s">
        <v>850</v>
      </c>
    </row>
    <row r="7" spans="1:10" ht="15.75">
      <c r="A7" s="365" t="s">
        <v>391</v>
      </c>
      <c r="B7" s="752"/>
      <c r="C7" s="366"/>
      <c r="D7" s="615">
        <f>IF(B7="","",CONCATENATE("Latest date for notice to be published in your newspaper: ",G18," ",G22,", ",G23))</f>
      </c>
      <c r="E7" s="364"/>
      <c r="F7" s="364"/>
      <c r="J7" s="613" t="s">
        <v>851</v>
      </c>
    </row>
    <row r="8" spans="1:10" ht="15.75">
      <c r="A8" s="365"/>
      <c r="B8" s="367"/>
      <c r="C8" s="368"/>
      <c r="D8" s="365"/>
      <c r="E8" s="364"/>
      <c r="F8" s="364"/>
      <c r="J8" s="613" t="s">
        <v>852</v>
      </c>
    </row>
    <row r="9" spans="1:10" ht="15.75">
      <c r="A9" s="365" t="s">
        <v>392</v>
      </c>
      <c r="B9" s="752"/>
      <c r="C9" s="369"/>
      <c r="D9" s="365"/>
      <c r="E9" s="364"/>
      <c r="F9" s="364"/>
      <c r="J9" s="613" t="s">
        <v>853</v>
      </c>
    </row>
    <row r="10" spans="1:10" ht="15.75">
      <c r="A10" s="365"/>
      <c r="B10" s="365"/>
      <c r="C10" s="365"/>
      <c r="D10" s="365"/>
      <c r="E10" s="364"/>
      <c r="F10" s="364"/>
      <c r="J10" s="613" t="s">
        <v>854</v>
      </c>
    </row>
    <row r="11" spans="1:10" ht="15.75">
      <c r="A11" s="365" t="s">
        <v>393</v>
      </c>
      <c r="B11" s="753"/>
      <c r="C11" s="754"/>
      <c r="D11" s="754"/>
      <c r="E11" s="755"/>
      <c r="F11" s="364"/>
      <c r="J11" s="613" t="s">
        <v>855</v>
      </c>
    </row>
    <row r="12" spans="1:10" ht="15.75">
      <c r="A12" s="365"/>
      <c r="B12" s="365"/>
      <c r="C12" s="365"/>
      <c r="D12" s="365"/>
      <c r="E12" s="364"/>
      <c r="F12" s="364"/>
      <c r="J12" s="613" t="s">
        <v>856</v>
      </c>
    </row>
    <row r="13" spans="1:6" ht="15.75">
      <c r="A13" s="365"/>
      <c r="B13" s="365"/>
      <c r="C13" s="365"/>
      <c r="D13" s="365"/>
      <c r="E13" s="364"/>
      <c r="F13" s="364"/>
    </row>
    <row r="14" spans="1:6" ht="15.75">
      <c r="A14" s="365" t="s">
        <v>395</v>
      </c>
      <c r="B14" s="753"/>
      <c r="C14" s="754"/>
      <c r="D14" s="754"/>
      <c r="E14" s="755"/>
      <c r="F14" s="364"/>
    </row>
    <row r="17" spans="1:6" ht="15.75">
      <c r="A17" s="948" t="s">
        <v>396</v>
      </c>
      <c r="B17" s="948"/>
      <c r="C17" s="365"/>
      <c r="D17" s="365"/>
      <c r="E17" s="365"/>
      <c r="F17" s="364"/>
    </row>
    <row r="18" spans="1:7" ht="15.75">
      <c r="A18" s="365"/>
      <c r="B18" s="365"/>
      <c r="C18" s="365"/>
      <c r="D18" s="365"/>
      <c r="E18" s="365"/>
      <c r="F18" s="364"/>
      <c r="G18" s="613">
        <f ca="1">IF(B7="","",INDIRECT(G19))</f>
      </c>
    </row>
    <row r="19" spans="1:7" ht="15.75">
      <c r="A19" s="365" t="s">
        <v>635</v>
      </c>
      <c r="B19" s="365" t="s">
        <v>636</v>
      </c>
      <c r="C19" s="365"/>
      <c r="D19" s="365"/>
      <c r="E19" s="365"/>
      <c r="F19" s="364"/>
      <c r="G19" s="616">
        <f>IF(B7="","",CONCATENATE("J",G21))</f>
      </c>
    </row>
    <row r="20" spans="1:7" ht="15.75">
      <c r="A20" s="365"/>
      <c r="B20" s="365"/>
      <c r="C20" s="365"/>
      <c r="D20" s="365"/>
      <c r="E20" s="365"/>
      <c r="F20" s="364"/>
      <c r="G20" s="617">
        <f>B7-10</f>
        <v>-10</v>
      </c>
    </row>
    <row r="21" spans="1:7" ht="15.75">
      <c r="A21" s="365" t="s">
        <v>391</v>
      </c>
      <c r="B21" s="367" t="s">
        <v>397</v>
      </c>
      <c r="C21" s="365"/>
      <c r="D21" s="365"/>
      <c r="E21" s="365"/>
      <c r="G21" s="618">
        <f>IF(B7="","",MONTH(G20))</f>
      </c>
    </row>
    <row r="22" spans="1:7" ht="15.75">
      <c r="A22" s="365"/>
      <c r="B22" s="365"/>
      <c r="C22" s="365"/>
      <c r="D22" s="365"/>
      <c r="E22" s="365"/>
      <c r="G22" s="619">
        <f>IF(B7="","",DAY(G20))</f>
      </c>
    </row>
    <row r="23" spans="1:7" ht="15.75">
      <c r="A23" s="365" t="s">
        <v>392</v>
      </c>
      <c r="B23" s="365" t="s">
        <v>398</v>
      </c>
      <c r="C23" s="365"/>
      <c r="D23" s="365"/>
      <c r="E23" s="365"/>
      <c r="G23" s="620">
        <f>IF(B7="","",YEAR(G20))</f>
      </c>
    </row>
    <row r="24" spans="1:5" ht="15.75">
      <c r="A24" s="365"/>
      <c r="B24" s="365"/>
      <c r="C24" s="365"/>
      <c r="D24" s="365"/>
      <c r="E24" s="365"/>
    </row>
    <row r="25" spans="1:5" ht="15.75">
      <c r="A25" s="365" t="s">
        <v>393</v>
      </c>
      <c r="B25" s="365" t="s">
        <v>394</v>
      </c>
      <c r="C25" s="365"/>
      <c r="D25" s="365"/>
      <c r="E25" s="365"/>
    </row>
    <row r="26" spans="1:5" ht="15.75">
      <c r="A26" s="365"/>
      <c r="B26" s="365"/>
      <c r="C26" s="365"/>
      <c r="D26" s="365"/>
      <c r="E26" s="365"/>
    </row>
    <row r="27" spans="1:5" ht="15.75">
      <c r="A27" s="365" t="s">
        <v>395</v>
      </c>
      <c r="B27" s="365" t="s">
        <v>394</v>
      </c>
      <c r="C27" s="365"/>
      <c r="D27" s="365"/>
      <c r="E27" s="36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0" sqref="U90"/>
    </sheetView>
  </sheetViews>
  <sheetFormatPr defaultColWidth="8.796875" defaultRowHeight="15"/>
  <sheetData>
    <row r="2" ht="15.75">
      <c r="H2" s="781">
        <f>inputPrYr!C10</f>
        <v>0</v>
      </c>
    </row>
    <row r="3" ht="15.75" thickBot="1"/>
    <row r="4" spans="2:8" ht="19.5" thickBot="1">
      <c r="B4" s="1026" t="s">
        <v>968</v>
      </c>
      <c r="C4" s="1027"/>
      <c r="D4" s="1027"/>
      <c r="E4" s="1027"/>
      <c r="F4" s="1027"/>
      <c r="G4" s="1027"/>
      <c r="H4" s="1028"/>
    </row>
    <row r="5" spans="2:8" ht="16.5" thickBot="1">
      <c r="B5" s="778"/>
      <c r="C5" s="778"/>
      <c r="D5" s="779"/>
      <c r="E5" s="780"/>
      <c r="F5" s="778"/>
      <c r="G5" s="778"/>
      <c r="H5" s="778"/>
    </row>
    <row r="6" spans="2:8" ht="15.75">
      <c r="B6" s="1029" t="str">
        <f>CONCATENATE("Notice of Vote - ",inputPrYr!D3)</f>
        <v>Notice of Vote - </v>
      </c>
      <c r="C6" s="1030"/>
      <c r="D6" s="1030"/>
      <c r="E6" s="1030"/>
      <c r="F6" s="1030"/>
      <c r="G6" s="1030"/>
      <c r="H6" s="1031"/>
    </row>
    <row r="7" spans="2:8" ht="60.75" customHeight="1" thickBot="1">
      <c r="B7" s="1023"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1024"/>
      <c r="D7" s="1024"/>
      <c r="E7" s="1024"/>
      <c r="F7" s="1024"/>
      <c r="G7" s="1024"/>
      <c r="H7" s="1025"/>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1.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79" sqref="U79"/>
    </sheetView>
  </sheetViews>
  <sheetFormatPr defaultColWidth="8.796875" defaultRowHeight="15"/>
  <cols>
    <col min="4" max="4" width="12.19921875" style="0" customWidth="1"/>
    <col min="6" max="6" width="3.296875" style="0" customWidth="1"/>
  </cols>
  <sheetData>
    <row r="2" ht="15.75">
      <c r="G2" s="781">
        <f>inputPrYr!C10</f>
        <v>0</v>
      </c>
    </row>
    <row r="3" ht="15.75" thickBot="1"/>
    <row r="4" spans="2:7" ht="19.5" thickBot="1">
      <c r="B4" s="1032" t="s">
        <v>969</v>
      </c>
      <c r="C4" s="1033"/>
      <c r="D4" s="1033"/>
      <c r="E4" s="1033"/>
      <c r="F4" s="1033"/>
      <c r="G4" s="1034"/>
    </row>
    <row r="5" spans="2:7" ht="16.5" thickBot="1">
      <c r="B5" s="782"/>
      <c r="C5" s="782"/>
      <c r="D5" s="782"/>
      <c r="E5" s="782"/>
      <c r="F5" s="782"/>
      <c r="G5" s="782"/>
    </row>
    <row r="6" spans="2:7" ht="15.75">
      <c r="B6" s="1029" t="str">
        <f>CONCATENATE("Notice of Vote - ",inputPrYr!D3)</f>
        <v>Notice of Vote - </v>
      </c>
      <c r="C6" s="1030"/>
      <c r="D6" s="1030"/>
      <c r="E6" s="1030"/>
      <c r="F6" s="1030"/>
      <c r="G6" s="1031"/>
    </row>
    <row r="7" spans="2:7" ht="15.75">
      <c r="B7" s="1035" t="s">
        <v>970</v>
      </c>
      <c r="C7" s="1036"/>
      <c r="D7" s="1036"/>
      <c r="E7" s="1036"/>
      <c r="F7" s="1036"/>
      <c r="G7" s="1037"/>
    </row>
    <row r="8" spans="2:7" ht="15.75">
      <c r="B8" s="1035" t="s">
        <v>971</v>
      </c>
      <c r="C8" s="1036"/>
      <c r="D8" s="1036"/>
      <c r="E8" s="1036"/>
      <c r="F8" s="1036"/>
      <c r="G8" s="1037"/>
    </row>
    <row r="9" spans="2:7" ht="15.75">
      <c r="B9" s="785" t="str">
        <f>CONCATENATE(G2-1," Budget")</f>
        <v>-1 Budget</v>
      </c>
      <c r="C9" s="789" t="s">
        <v>16</v>
      </c>
      <c r="D9" s="791">
        <f>inputPrYr!E36</f>
        <v>0</v>
      </c>
      <c r="E9" s="783"/>
      <c r="F9" s="783"/>
      <c r="G9" s="784"/>
    </row>
    <row r="10" spans="2:7" ht="15.75">
      <c r="B10" s="785" t="str">
        <f>CONCATENATE(G2," budget")</f>
        <v>0 budget</v>
      </c>
      <c r="C10" s="789" t="s">
        <v>16</v>
      </c>
      <c r="D10" s="792">
        <f>cert!F56</f>
        <v>0</v>
      </c>
      <c r="E10" s="783"/>
      <c r="F10" s="783"/>
      <c r="G10" s="784"/>
    </row>
    <row r="11" spans="2:7" ht="15.75">
      <c r="B11" s="785"/>
      <c r="C11" s="783"/>
      <c r="D11" s="783" t="s">
        <v>972</v>
      </c>
      <c r="E11" s="795"/>
      <c r="F11" s="788" t="s">
        <v>973</v>
      </c>
      <c r="G11" s="796"/>
    </row>
    <row r="12" spans="2:7" ht="16.5" thickBot="1">
      <c r="B12" s="786"/>
      <c r="C12" s="787"/>
      <c r="D12" s="787"/>
      <c r="E12" s="787"/>
      <c r="F12" s="787"/>
      <c r="G12" s="79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72" sqref="U72"/>
    </sheetView>
  </sheetViews>
  <sheetFormatPr defaultColWidth="8.796875" defaultRowHeight="15"/>
  <cols>
    <col min="4" max="4" width="12.19921875" style="0" customWidth="1"/>
    <col min="6" max="6" width="6.796875" style="0" customWidth="1"/>
  </cols>
  <sheetData>
    <row r="2" ht="15.75">
      <c r="G2" s="781">
        <f>inputPrYr!C10</f>
        <v>0</v>
      </c>
    </row>
    <row r="3" ht="15.75" thickBot="1"/>
    <row r="4" spans="2:7" ht="19.5" thickBot="1">
      <c r="B4" s="1032" t="s">
        <v>969</v>
      </c>
      <c r="C4" s="1033"/>
      <c r="D4" s="1033"/>
      <c r="E4" s="1033"/>
      <c r="F4" s="1033"/>
      <c r="G4" s="1034"/>
    </row>
    <row r="5" spans="2:7" ht="16.5" thickBot="1">
      <c r="B5" s="782"/>
      <c r="C5" s="782"/>
      <c r="D5" s="782"/>
      <c r="E5" s="782"/>
      <c r="F5" s="782"/>
      <c r="G5" s="782"/>
    </row>
    <row r="6" spans="2:7" ht="15.75">
      <c r="B6" s="1029" t="str">
        <f>CONCATENATE("Notice of Vote - ",inputPrYr!D3)</f>
        <v>Notice of Vote - </v>
      </c>
      <c r="C6" s="1030"/>
      <c r="D6" s="1030"/>
      <c r="E6" s="1030"/>
      <c r="F6" s="1030"/>
      <c r="G6" s="1031"/>
    </row>
    <row r="7" spans="2:7" ht="15.75">
      <c r="B7" s="1035" t="s">
        <v>970</v>
      </c>
      <c r="C7" s="1036"/>
      <c r="D7" s="1036"/>
      <c r="E7" s="1036"/>
      <c r="F7" s="1036"/>
      <c r="G7" s="1037"/>
    </row>
    <row r="8" spans="3:7" ht="15.75">
      <c r="C8" s="867"/>
      <c r="D8" s="890" t="s">
        <v>971</v>
      </c>
      <c r="E8" s="867"/>
      <c r="F8" s="891" t="s">
        <v>1037</v>
      </c>
      <c r="G8" s="868"/>
    </row>
    <row r="9" spans="2:7" ht="15.75">
      <c r="B9" s="785" t="str">
        <f>CONCATENATE(G2-1," Budget")</f>
        <v>-1 Budget</v>
      </c>
      <c r="C9" s="789" t="s">
        <v>16</v>
      </c>
      <c r="D9" s="791">
        <f>summ!D59</f>
        <v>0</v>
      </c>
      <c r="E9" s="783"/>
      <c r="F9" s="783"/>
      <c r="G9" s="784"/>
    </row>
    <row r="10" spans="2:7" ht="15.75">
      <c r="B10" s="785" t="str">
        <f>CONCATENATE(G2," budget")</f>
        <v>0 budget</v>
      </c>
      <c r="C10" s="789" t="s">
        <v>16</v>
      </c>
      <c r="D10" s="792">
        <f>summ!G56</f>
        <v>0</v>
      </c>
      <c r="E10" s="783"/>
      <c r="F10" s="783"/>
      <c r="G10" s="784"/>
    </row>
    <row r="11" spans="2:7" ht="15.75">
      <c r="B11" s="785"/>
      <c r="C11" s="789"/>
      <c r="D11" s="887"/>
      <c r="E11" s="783"/>
      <c r="F11" s="783"/>
      <c r="G11" s="784"/>
    </row>
    <row r="12" spans="2:7" ht="15.75">
      <c r="B12" s="785"/>
      <c r="C12" s="783"/>
      <c r="D12" s="783" t="s">
        <v>972</v>
      </c>
      <c r="E12" s="795"/>
      <c r="F12" s="867" t="s">
        <v>973</v>
      </c>
      <c r="G12" s="796"/>
    </row>
    <row r="13" spans="2:7" ht="15.75">
      <c r="B13" s="785"/>
      <c r="C13" s="783"/>
      <c r="D13" s="783"/>
      <c r="E13" s="888"/>
      <c r="F13" s="867"/>
      <c r="G13" s="889"/>
    </row>
    <row r="14" spans="2:7" ht="16.5" thickBot="1">
      <c r="B14" s="786" t="str">
        <f>CONCATENATE("* ",G2-1," mill levy is actual.  ",G2," mill levy is estimated.")</f>
        <v>* -1 mill levy is actual.  0 mill levy is estimated.</v>
      </c>
      <c r="C14" s="787"/>
      <c r="D14" s="787"/>
      <c r="E14" s="787"/>
      <c r="F14" s="787"/>
      <c r="G14" s="790"/>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3.xml><?xml version="1.0" encoding="utf-8"?>
<worksheet xmlns="http://schemas.openxmlformats.org/spreadsheetml/2006/main" xmlns:r="http://schemas.openxmlformats.org/officeDocument/2006/relationships">
  <dimension ref="B1:C46"/>
  <sheetViews>
    <sheetView zoomScalePageLayoutView="0" workbookViewId="0" topLeftCell="A1">
      <selection activeCell="J76" sqref="J76"/>
    </sheetView>
  </sheetViews>
  <sheetFormatPr defaultColWidth="8.796875" defaultRowHeight="15"/>
  <cols>
    <col min="2" max="2" width="100.796875" style="0" customWidth="1"/>
  </cols>
  <sheetData>
    <row r="1" spans="2:3" ht="15">
      <c r="B1" s="892"/>
      <c r="C1" s="894">
        <f>inputPrYr!D3</f>
        <v>0</v>
      </c>
    </row>
    <row r="2" spans="2:3" ht="15">
      <c r="B2" s="892"/>
      <c r="C2" s="894">
        <f>inputPrYr!D4</f>
        <v>0</v>
      </c>
    </row>
    <row r="3" spans="2:3" ht="15">
      <c r="B3" s="892"/>
      <c r="C3" s="893">
        <f>inputPrYr!C10</f>
        <v>0</v>
      </c>
    </row>
    <row r="4" ht="49.5" customHeight="1">
      <c r="B4" s="895" t="s">
        <v>1038</v>
      </c>
    </row>
    <row r="5" ht="49.5" customHeight="1">
      <c r="B5" s="896"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6" ht="99.75" customHeight="1">
      <c r="B6" s="897"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7" ht="99.75" customHeight="1">
      <c r="B7" s="897" t="s">
        <v>1039</v>
      </c>
    </row>
    <row r="8" ht="49.5" customHeight="1">
      <c r="B8" s="898" t="str">
        <f>CONCATENATE("Whereas, ",C1," provides essential services to its citizens; and")</f>
        <v>Whereas, 0 provides essential services to its citizens; and</v>
      </c>
    </row>
    <row r="9" ht="49.5" customHeight="1">
      <c r="B9" s="898" t="s">
        <v>1040</v>
      </c>
    </row>
    <row r="10" ht="49.5" customHeight="1">
      <c r="B10" s="897"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1" ht="49.5" customHeight="1">
      <c r="B11" s="898" t="str">
        <f>CONCATENATE("Adopted this _____day of____________, ",C3-1," by the ",C1," governing body, ",C2,", Kansas.")</f>
        <v>Adopted this _____day of____________, -1 by the 0 governing body, 0, Kansas.</v>
      </c>
    </row>
    <row r="12" ht="49.5" customHeight="1">
      <c r="B12" s="899" t="str">
        <f>CONCATENATE(C1," Governing Body")</f>
        <v>0 Governing Body</v>
      </c>
    </row>
    <row r="13" ht="49.5" customHeight="1">
      <c r="B13" s="900" t="s">
        <v>1041</v>
      </c>
    </row>
    <row r="14" ht="49.5" customHeight="1">
      <c r="B14" s="900" t="s">
        <v>1041</v>
      </c>
    </row>
    <row r="15" ht="49.5" customHeight="1">
      <c r="B15" s="900" t="s">
        <v>1041</v>
      </c>
    </row>
    <row r="16" ht="49.5" customHeight="1">
      <c r="B16" s="892"/>
    </row>
    <row r="17" ht="15">
      <c r="B17" s="892"/>
    </row>
    <row r="18" ht="15">
      <c r="B18" s="892"/>
    </row>
    <row r="19" ht="15">
      <c r="B19" s="892"/>
    </row>
    <row r="20" ht="15">
      <c r="B20" s="892"/>
    </row>
    <row r="21" ht="15">
      <c r="B21" s="892"/>
    </row>
    <row r="22" ht="15">
      <c r="B22" s="892"/>
    </row>
    <row r="23" ht="15">
      <c r="B23" s="892"/>
    </row>
    <row r="24" ht="15">
      <c r="B24" s="892"/>
    </row>
    <row r="25" ht="15">
      <c r="B25" s="892"/>
    </row>
    <row r="26" ht="15">
      <c r="B26" s="892"/>
    </row>
    <row r="27" ht="15">
      <c r="B27" s="892"/>
    </row>
    <row r="28" ht="15">
      <c r="B28" s="892"/>
    </row>
    <row r="29" ht="15">
      <c r="B29" s="892"/>
    </row>
    <row r="30" ht="15">
      <c r="B30" s="892"/>
    </row>
    <row r="31" ht="15">
      <c r="B31" s="892"/>
    </row>
    <row r="32" ht="15">
      <c r="B32" s="892"/>
    </row>
    <row r="33" ht="15">
      <c r="B33" s="892"/>
    </row>
    <row r="34" ht="15">
      <c r="B34" s="892"/>
    </row>
    <row r="35" ht="15">
      <c r="B35" s="892"/>
    </row>
    <row r="36" ht="15">
      <c r="B36" s="892"/>
    </row>
    <row r="37" ht="15">
      <c r="B37" s="892"/>
    </row>
    <row r="38" ht="15">
      <c r="B38" s="892"/>
    </row>
    <row r="39" ht="15">
      <c r="B39" s="892"/>
    </row>
    <row r="40" ht="15">
      <c r="B40" s="892"/>
    </row>
    <row r="41" ht="15">
      <c r="B41" s="892"/>
    </row>
    <row r="42" ht="15">
      <c r="B42" s="892"/>
    </row>
    <row r="43" ht="15">
      <c r="B43" s="892"/>
    </row>
    <row r="44" ht="15">
      <c r="B44" s="892"/>
    </row>
    <row r="45" ht="15">
      <c r="B45" s="892"/>
    </row>
    <row r="46" ht="15">
      <c r="B46" s="892"/>
    </row>
  </sheetData>
  <sheetProtection sheet="1" objects="1" scenarios="1"/>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15" sqref="N115"/>
    </sheetView>
  </sheetViews>
  <sheetFormatPr defaultColWidth="8.796875" defaultRowHeight="15"/>
  <cols>
    <col min="1" max="1" width="71.296875" style="0" customWidth="1"/>
  </cols>
  <sheetData>
    <row r="3" spans="1:12" ht="15">
      <c r="A3" s="370" t="s">
        <v>399</v>
      </c>
      <c r="B3" s="370"/>
      <c r="C3" s="370"/>
      <c r="D3" s="370"/>
      <c r="E3" s="370"/>
      <c r="F3" s="370"/>
      <c r="G3" s="370"/>
      <c r="H3" s="370"/>
      <c r="I3" s="370"/>
      <c r="J3" s="370"/>
      <c r="K3" s="370"/>
      <c r="L3" s="370"/>
    </row>
    <row r="5" ht="15">
      <c r="A5" s="371" t="s">
        <v>400</v>
      </c>
    </row>
    <row r="6" ht="15">
      <c r="A6" s="371" t="str">
        <f>CONCATENATE(inputPrYr!C10-2," 'total expenditures' exceed your ",inputPrYr!C10-2," 'budget authority.'")</f>
        <v>-2 'total expenditures' exceed your -2 'budget authority.'</v>
      </c>
    </row>
    <row r="7" ht="15">
      <c r="A7" s="371"/>
    </row>
    <row r="8" ht="15">
      <c r="A8" s="371" t="s">
        <v>401</v>
      </c>
    </row>
    <row r="9" ht="15">
      <c r="A9" s="371" t="s">
        <v>402</v>
      </c>
    </row>
    <row r="10" ht="15">
      <c r="A10" s="371" t="s">
        <v>403</v>
      </c>
    </row>
    <row r="11" ht="15">
      <c r="A11" s="371"/>
    </row>
    <row r="12" ht="15">
      <c r="A12" s="371"/>
    </row>
    <row r="13" ht="15">
      <c r="A13" s="372" t="s">
        <v>404</v>
      </c>
    </row>
    <row r="15" ht="15">
      <c r="A15" s="371" t="s">
        <v>405</v>
      </c>
    </row>
    <row r="16" ht="15">
      <c r="A16" s="371" t="str">
        <f>CONCATENATE("(i.e. an audit has not been completed, or the ",inputPrYr!C10," adopted")</f>
        <v>(i.e. an audit has not been completed, or the  adopted</v>
      </c>
    </row>
    <row r="17" ht="15">
      <c r="A17" s="371" t="s">
        <v>406</v>
      </c>
    </row>
    <row r="18" ht="15">
      <c r="A18" s="371" t="s">
        <v>407</v>
      </c>
    </row>
    <row r="19" ht="15">
      <c r="A19" s="371" t="s">
        <v>408</v>
      </c>
    </row>
    <row r="21" ht="15">
      <c r="A21" s="372" t="s">
        <v>409</v>
      </c>
    </row>
    <row r="22" ht="15">
      <c r="A22" s="372"/>
    </row>
    <row r="23" ht="15">
      <c r="A23" s="371" t="s">
        <v>410</v>
      </c>
    </row>
    <row r="24" ht="15">
      <c r="A24" s="371" t="s">
        <v>411</v>
      </c>
    </row>
    <row r="25" ht="15">
      <c r="A25" s="371" t="str">
        <f>CONCATENATE("particular fund.  If your ",inputPrYr!C10-2," budget was amended, did you")</f>
        <v>particular fund.  If your -2 budget was amended, did you</v>
      </c>
    </row>
    <row r="26" ht="15">
      <c r="A26" s="371" t="s">
        <v>412</v>
      </c>
    </row>
    <row r="27" ht="15">
      <c r="A27" s="371"/>
    </row>
    <row r="28" ht="15">
      <c r="A28" s="371" t="str">
        <f>CONCATENATE("Next, look to see if any of your ",inputPrYr!C10-2," expenditures can be")</f>
        <v>Next, look to see if any of your -2 expenditures can be</v>
      </c>
    </row>
    <row r="29" ht="15">
      <c r="A29" s="371" t="s">
        <v>413</v>
      </c>
    </row>
    <row r="30" ht="15">
      <c r="A30" s="371" t="s">
        <v>414</v>
      </c>
    </row>
    <row r="31" ht="15">
      <c r="A31" s="371" t="s">
        <v>415</v>
      </c>
    </row>
    <row r="32" ht="15">
      <c r="A32" s="371"/>
    </row>
    <row r="33" ht="15">
      <c r="A33" s="371" t="str">
        <f>CONCATENATE("Additionally, do your ",inputPrYr!C10-2," receipts contain a reimbursement")</f>
        <v>Additionally, do your -2 receipts contain a reimbursement</v>
      </c>
    </row>
    <row r="34" ht="15">
      <c r="A34" s="371" t="s">
        <v>416</v>
      </c>
    </row>
    <row r="35" ht="15">
      <c r="A35" s="371" t="s">
        <v>417</v>
      </c>
    </row>
    <row r="36" ht="15">
      <c r="A36" s="371"/>
    </row>
    <row r="37" ht="15">
      <c r="A37" s="371" t="s">
        <v>418</v>
      </c>
    </row>
    <row r="38" ht="15">
      <c r="A38" s="371" t="s">
        <v>419</v>
      </c>
    </row>
    <row r="39" ht="15">
      <c r="A39" s="371" t="s">
        <v>420</v>
      </c>
    </row>
    <row r="40" ht="15">
      <c r="A40" s="371" t="s">
        <v>421</v>
      </c>
    </row>
    <row r="41" ht="15">
      <c r="A41" s="371" t="s">
        <v>422</v>
      </c>
    </row>
    <row r="42" ht="15">
      <c r="A42" s="371" t="s">
        <v>423</v>
      </c>
    </row>
    <row r="43" ht="15">
      <c r="A43" s="371" t="s">
        <v>424</v>
      </c>
    </row>
    <row r="44" ht="15">
      <c r="A44" s="371" t="s">
        <v>425</v>
      </c>
    </row>
    <row r="45" ht="15">
      <c r="A45" s="371"/>
    </row>
    <row r="46" ht="15">
      <c r="A46" s="371" t="s">
        <v>426</v>
      </c>
    </row>
    <row r="47" ht="15">
      <c r="A47" s="371" t="s">
        <v>427</v>
      </c>
    </row>
    <row r="48" ht="15">
      <c r="A48" s="371" t="s">
        <v>428</v>
      </c>
    </row>
    <row r="49" ht="15">
      <c r="A49" s="371"/>
    </row>
    <row r="50" ht="15">
      <c r="A50" s="371" t="s">
        <v>429</v>
      </c>
    </row>
    <row r="51" ht="15">
      <c r="A51" s="371" t="s">
        <v>430</v>
      </c>
    </row>
    <row r="52" ht="15">
      <c r="A52" s="371" t="s">
        <v>431</v>
      </c>
    </row>
    <row r="53" ht="15">
      <c r="A53" s="371"/>
    </row>
    <row r="54" ht="15">
      <c r="A54" s="372" t="s">
        <v>432</v>
      </c>
    </row>
    <row r="55" ht="15">
      <c r="A55" s="371"/>
    </row>
    <row r="56" ht="15">
      <c r="A56" s="371" t="s">
        <v>433</v>
      </c>
    </row>
    <row r="57" ht="15">
      <c r="A57" s="371" t="s">
        <v>434</v>
      </c>
    </row>
    <row r="58" ht="15">
      <c r="A58" s="371" t="s">
        <v>435</v>
      </c>
    </row>
    <row r="59" ht="15">
      <c r="A59" s="371" t="s">
        <v>436</v>
      </c>
    </row>
    <row r="60" ht="15">
      <c r="A60" s="371" t="s">
        <v>437</v>
      </c>
    </row>
    <row r="61" ht="15">
      <c r="A61" s="371" t="s">
        <v>438</v>
      </c>
    </row>
    <row r="62" ht="15">
      <c r="A62" s="371" t="s">
        <v>439</v>
      </c>
    </row>
    <row r="63" ht="15">
      <c r="A63" s="371" t="s">
        <v>440</v>
      </c>
    </row>
    <row r="64" ht="15">
      <c r="A64" s="371" t="s">
        <v>441</v>
      </c>
    </row>
    <row r="65" ht="15">
      <c r="A65" s="371" t="s">
        <v>442</v>
      </c>
    </row>
    <row r="66" ht="15">
      <c r="A66" s="371" t="s">
        <v>443</v>
      </c>
    </row>
    <row r="67" ht="15">
      <c r="A67" s="371" t="s">
        <v>444</v>
      </c>
    </row>
    <row r="68" ht="15">
      <c r="A68" s="371" t="s">
        <v>445</v>
      </c>
    </row>
    <row r="69" ht="15">
      <c r="A69" s="371"/>
    </row>
    <row r="70" ht="15">
      <c r="A70" s="371" t="s">
        <v>446</v>
      </c>
    </row>
    <row r="71" ht="15">
      <c r="A71" s="371" t="s">
        <v>447</v>
      </c>
    </row>
    <row r="72" ht="15">
      <c r="A72" s="371" t="s">
        <v>448</v>
      </c>
    </row>
    <row r="73" ht="15">
      <c r="A73" s="371"/>
    </row>
    <row r="74" ht="15">
      <c r="A74" s="372" t="str">
        <f>CONCATENATE("What if the ",inputPrYr!C10-2," financial records have been closed?")</f>
        <v>What if the -2 financial records have been closed?</v>
      </c>
    </row>
    <row r="76" ht="15">
      <c r="A76" s="371" t="s">
        <v>449</v>
      </c>
    </row>
    <row r="77" ht="15">
      <c r="A77" s="371" t="str">
        <f>CONCATENATE("(i.e. an audit for ",inputPrYr!C10-2," has been completed, or the ",inputPrYr!C10)</f>
        <v>(i.e. an audit for -2 has been completed, or the </v>
      </c>
    </row>
    <row r="78" ht="15">
      <c r="A78" s="371" t="s">
        <v>450</v>
      </c>
    </row>
    <row r="79" ht="15">
      <c r="A79" s="371" t="s">
        <v>451</v>
      </c>
    </row>
    <row r="80" ht="15">
      <c r="A80" s="371"/>
    </row>
    <row r="81" ht="15">
      <c r="A81" s="371" t="s">
        <v>452</v>
      </c>
    </row>
    <row r="82" ht="15">
      <c r="A82" s="371" t="s">
        <v>453</v>
      </c>
    </row>
    <row r="83" ht="15">
      <c r="A83" s="371" t="s">
        <v>454</v>
      </c>
    </row>
    <row r="84" ht="15">
      <c r="A84" s="371"/>
    </row>
    <row r="85" ht="15">
      <c r="A85" s="371" t="s">
        <v>455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21" sqref="N121"/>
    </sheetView>
  </sheetViews>
  <sheetFormatPr defaultColWidth="8.796875" defaultRowHeight="15"/>
  <cols>
    <col min="1" max="1" width="71.296875" style="0" customWidth="1"/>
  </cols>
  <sheetData>
    <row r="3" spans="1:10" ht="15">
      <c r="A3" s="370" t="s">
        <v>456</v>
      </c>
      <c r="B3" s="370"/>
      <c r="C3" s="370"/>
      <c r="D3" s="370"/>
      <c r="E3" s="370"/>
      <c r="F3" s="370"/>
      <c r="G3" s="370"/>
      <c r="H3" s="373"/>
      <c r="I3" s="373"/>
      <c r="J3" s="373"/>
    </row>
    <row r="5" ht="15">
      <c r="A5" s="371" t="s">
        <v>457</v>
      </c>
    </row>
    <row r="6" ht="15">
      <c r="A6" t="str">
        <f>CONCATENATE(inputPrYr!C10-2," expenditures show that you finished the year with a ")</f>
        <v>-2 expenditures show that you finished the year with a </v>
      </c>
    </row>
    <row r="7" ht="15">
      <c r="A7" t="s">
        <v>458</v>
      </c>
    </row>
    <row r="9" ht="15">
      <c r="A9" t="s">
        <v>459</v>
      </c>
    </row>
    <row r="10" ht="15">
      <c r="A10" t="s">
        <v>460</v>
      </c>
    </row>
    <row r="11" ht="15">
      <c r="A11" t="s">
        <v>461</v>
      </c>
    </row>
    <row r="13" ht="15">
      <c r="A13" s="372" t="s">
        <v>462</v>
      </c>
    </row>
    <row r="14" ht="15">
      <c r="A14" s="372"/>
    </row>
    <row r="15" ht="15">
      <c r="A15" s="371" t="s">
        <v>463</v>
      </c>
    </row>
    <row r="16" ht="15">
      <c r="A16" s="371" t="s">
        <v>464</v>
      </c>
    </row>
    <row r="17" ht="15">
      <c r="A17" s="371" t="s">
        <v>465</v>
      </c>
    </row>
    <row r="18" ht="15">
      <c r="A18" s="371"/>
    </row>
    <row r="19" ht="15">
      <c r="A19" s="372" t="s">
        <v>466</v>
      </c>
    </row>
    <row r="20" ht="15">
      <c r="A20" s="372"/>
    </row>
    <row r="21" ht="15">
      <c r="A21" s="371" t="s">
        <v>467</v>
      </c>
    </row>
    <row r="22" ht="15">
      <c r="A22" s="371" t="s">
        <v>468</v>
      </c>
    </row>
    <row r="23" ht="15">
      <c r="A23" s="371" t="s">
        <v>469</v>
      </c>
    </row>
    <row r="24" ht="15">
      <c r="A24" s="371"/>
    </row>
    <row r="25" ht="15">
      <c r="A25" s="372" t="s">
        <v>470</v>
      </c>
    </row>
    <row r="26" ht="15">
      <c r="A26" s="372"/>
    </row>
    <row r="27" ht="15">
      <c r="A27" s="371" t="s">
        <v>471</v>
      </c>
    </row>
    <row r="28" ht="15">
      <c r="A28" s="371" t="s">
        <v>472</v>
      </c>
    </row>
    <row r="29" ht="15">
      <c r="A29" s="371" t="s">
        <v>473</v>
      </c>
    </row>
    <row r="30" ht="15">
      <c r="A30" s="371"/>
    </row>
    <row r="31" ht="15">
      <c r="A31" s="372" t="s">
        <v>474</v>
      </c>
    </row>
    <row r="32" ht="15">
      <c r="A32" s="372"/>
    </row>
    <row r="33" spans="1:8" ht="15">
      <c r="A33" s="371" t="str">
        <f>CONCATENATE("If your financial records for ",inputPrYr!C10-2," are not closed")</f>
        <v>If your financial records for -2 are not closed</v>
      </c>
      <c r="B33" s="371"/>
      <c r="C33" s="371"/>
      <c r="D33" s="371"/>
      <c r="E33" s="371"/>
      <c r="F33" s="371"/>
      <c r="G33" s="371"/>
      <c r="H33" s="371"/>
    </row>
    <row r="34" spans="1:8" ht="15">
      <c r="A34" s="371" t="str">
        <f>CONCATENATE("(i.e. an audit has not been completed, or the ",inputPrYr!C10," adopted ")</f>
        <v>(i.e. an audit has not been completed, or the  adopted </v>
      </c>
      <c r="B34" s="371"/>
      <c r="C34" s="371"/>
      <c r="D34" s="371"/>
      <c r="E34" s="371"/>
      <c r="F34" s="371"/>
      <c r="G34" s="371"/>
      <c r="H34" s="371"/>
    </row>
    <row r="35" spans="1:8" ht="15">
      <c r="A35" s="371" t="s">
        <v>475</v>
      </c>
      <c r="B35" s="371"/>
      <c r="C35" s="371"/>
      <c r="D35" s="371"/>
      <c r="E35" s="371"/>
      <c r="F35" s="371"/>
      <c r="G35" s="371"/>
      <c r="H35" s="371"/>
    </row>
    <row r="36" spans="1:8" ht="15">
      <c r="A36" s="371" t="s">
        <v>476</v>
      </c>
      <c r="B36" s="371"/>
      <c r="C36" s="371"/>
      <c r="D36" s="371"/>
      <c r="E36" s="371"/>
      <c r="F36" s="371"/>
      <c r="G36" s="371"/>
      <c r="H36" s="371"/>
    </row>
    <row r="37" spans="1:8" ht="15">
      <c r="A37" s="371" t="s">
        <v>477</v>
      </c>
      <c r="B37" s="371"/>
      <c r="C37" s="371"/>
      <c r="D37" s="371"/>
      <c r="E37" s="371"/>
      <c r="F37" s="371"/>
      <c r="G37" s="371"/>
      <c r="H37" s="371"/>
    </row>
    <row r="38" spans="1:8" ht="15">
      <c r="A38" s="371" t="s">
        <v>478</v>
      </c>
      <c r="B38" s="371"/>
      <c r="C38" s="371"/>
      <c r="D38" s="371"/>
      <c r="E38" s="371"/>
      <c r="F38" s="371"/>
      <c r="G38" s="371"/>
      <c r="H38" s="371"/>
    </row>
    <row r="39" spans="1:8" ht="15">
      <c r="A39" s="371" t="s">
        <v>479</v>
      </c>
      <c r="B39" s="371"/>
      <c r="C39" s="371"/>
      <c r="D39" s="371"/>
      <c r="E39" s="371"/>
      <c r="F39" s="371"/>
      <c r="G39" s="371"/>
      <c r="H39" s="371"/>
    </row>
    <row r="40" spans="1:8" ht="15">
      <c r="A40" s="371"/>
      <c r="B40" s="371"/>
      <c r="C40" s="371"/>
      <c r="D40" s="371"/>
      <c r="E40" s="371"/>
      <c r="F40" s="371"/>
      <c r="G40" s="371"/>
      <c r="H40" s="371"/>
    </row>
    <row r="41" spans="1:8" ht="15">
      <c r="A41" s="371" t="s">
        <v>480</v>
      </c>
      <c r="B41" s="371"/>
      <c r="C41" s="371"/>
      <c r="D41" s="371"/>
      <c r="E41" s="371"/>
      <c r="F41" s="371"/>
      <c r="G41" s="371"/>
      <c r="H41" s="371"/>
    </row>
    <row r="42" spans="1:8" ht="15">
      <c r="A42" s="371" t="s">
        <v>481</v>
      </c>
      <c r="B42" s="371"/>
      <c r="C42" s="371"/>
      <c r="D42" s="371"/>
      <c r="E42" s="371"/>
      <c r="F42" s="371"/>
      <c r="G42" s="371"/>
      <c r="H42" s="371"/>
    </row>
    <row r="43" spans="1:8" ht="15">
      <c r="A43" s="371" t="s">
        <v>482</v>
      </c>
      <c r="B43" s="371"/>
      <c r="C43" s="371"/>
      <c r="D43" s="371"/>
      <c r="E43" s="371"/>
      <c r="F43" s="371"/>
      <c r="G43" s="371"/>
      <c r="H43" s="371"/>
    </row>
    <row r="44" spans="1:8" ht="15">
      <c r="A44" s="371" t="s">
        <v>483</v>
      </c>
      <c r="B44" s="371"/>
      <c r="C44" s="371"/>
      <c r="D44" s="371"/>
      <c r="E44" s="371"/>
      <c r="F44" s="371"/>
      <c r="G44" s="371"/>
      <c r="H44" s="371"/>
    </row>
    <row r="45" spans="1:8" ht="15">
      <c r="A45" s="371"/>
      <c r="B45" s="371"/>
      <c r="C45" s="371"/>
      <c r="D45" s="371"/>
      <c r="E45" s="371"/>
      <c r="F45" s="371"/>
      <c r="G45" s="371"/>
      <c r="H45" s="371"/>
    </row>
    <row r="46" spans="1:8" ht="15">
      <c r="A46" s="371" t="s">
        <v>484</v>
      </c>
      <c r="B46" s="371"/>
      <c r="C46" s="371"/>
      <c r="D46" s="371"/>
      <c r="E46" s="371"/>
      <c r="F46" s="371"/>
      <c r="G46" s="371"/>
      <c r="H46" s="371"/>
    </row>
    <row r="47" spans="1:8" ht="15">
      <c r="A47" s="371" t="s">
        <v>485</v>
      </c>
      <c r="B47" s="371"/>
      <c r="C47" s="371"/>
      <c r="D47" s="371"/>
      <c r="E47" s="371"/>
      <c r="F47" s="371"/>
      <c r="G47" s="371"/>
      <c r="H47" s="371"/>
    </row>
    <row r="48" spans="1:8" ht="15">
      <c r="A48" s="371" t="s">
        <v>486</v>
      </c>
      <c r="B48" s="371"/>
      <c r="C48" s="371"/>
      <c r="D48" s="371"/>
      <c r="E48" s="371"/>
      <c r="F48" s="371"/>
      <c r="G48" s="371"/>
      <c r="H48" s="371"/>
    </row>
    <row r="49" spans="1:8" ht="15">
      <c r="A49" s="371" t="s">
        <v>487</v>
      </c>
      <c r="B49" s="371"/>
      <c r="C49" s="371"/>
      <c r="D49" s="371"/>
      <c r="E49" s="371"/>
      <c r="F49" s="371"/>
      <c r="G49" s="371"/>
      <c r="H49" s="371"/>
    </row>
    <row r="50" spans="1:8" ht="15">
      <c r="A50" s="371" t="s">
        <v>488</v>
      </c>
      <c r="B50" s="371"/>
      <c r="C50" s="371"/>
      <c r="D50" s="371"/>
      <c r="E50" s="371"/>
      <c r="F50" s="371"/>
      <c r="G50" s="371"/>
      <c r="H50" s="371"/>
    </row>
    <row r="51" spans="1:8" ht="15">
      <c r="A51" s="371"/>
      <c r="B51" s="371"/>
      <c r="C51" s="371"/>
      <c r="D51" s="371"/>
      <c r="E51" s="371"/>
      <c r="F51" s="371"/>
      <c r="G51" s="371"/>
      <c r="H51" s="371"/>
    </row>
    <row r="52" spans="1:8" ht="15">
      <c r="A52" s="372" t="s">
        <v>489</v>
      </c>
      <c r="B52" s="372"/>
      <c r="C52" s="372"/>
      <c r="D52" s="372"/>
      <c r="E52" s="372"/>
      <c r="F52" s="372"/>
      <c r="G52" s="372"/>
      <c r="H52" s="371"/>
    </row>
    <row r="53" spans="1:8" ht="15">
      <c r="A53" s="372" t="s">
        <v>490</v>
      </c>
      <c r="B53" s="372"/>
      <c r="C53" s="372"/>
      <c r="D53" s="372"/>
      <c r="E53" s="372"/>
      <c r="F53" s="372"/>
      <c r="G53" s="372"/>
      <c r="H53" s="371"/>
    </row>
    <row r="54" spans="1:8" ht="15">
      <c r="A54" s="371"/>
      <c r="B54" s="371"/>
      <c r="C54" s="371"/>
      <c r="D54" s="371"/>
      <c r="E54" s="371"/>
      <c r="F54" s="371"/>
      <c r="G54" s="371"/>
      <c r="H54" s="371"/>
    </row>
    <row r="55" spans="1:8" ht="15">
      <c r="A55" s="371" t="s">
        <v>491</v>
      </c>
      <c r="B55" s="371"/>
      <c r="C55" s="371"/>
      <c r="D55" s="371"/>
      <c r="E55" s="371"/>
      <c r="F55" s="371"/>
      <c r="G55" s="371"/>
      <c r="H55" s="371"/>
    </row>
    <row r="56" spans="1:8" ht="15">
      <c r="A56" s="371" t="s">
        <v>492</v>
      </c>
      <c r="B56" s="371"/>
      <c r="C56" s="371"/>
      <c r="D56" s="371"/>
      <c r="E56" s="371"/>
      <c r="F56" s="371"/>
      <c r="G56" s="371"/>
      <c r="H56" s="371"/>
    </row>
    <row r="57" spans="1:8" ht="15">
      <c r="A57" s="371" t="s">
        <v>493</v>
      </c>
      <c r="B57" s="371"/>
      <c r="C57" s="371"/>
      <c r="D57" s="371"/>
      <c r="E57" s="371"/>
      <c r="F57" s="371"/>
      <c r="G57" s="371"/>
      <c r="H57" s="371"/>
    </row>
    <row r="58" spans="1:8" ht="15">
      <c r="A58" s="371" t="s">
        <v>494</v>
      </c>
      <c r="B58" s="371"/>
      <c r="C58" s="371"/>
      <c r="D58" s="371"/>
      <c r="E58" s="371"/>
      <c r="F58" s="371"/>
      <c r="G58" s="371"/>
      <c r="H58" s="371"/>
    </row>
    <row r="59" spans="1:8" ht="15">
      <c r="A59" s="371"/>
      <c r="B59" s="371"/>
      <c r="C59" s="371"/>
      <c r="D59" s="371"/>
      <c r="E59" s="371"/>
      <c r="F59" s="371"/>
      <c r="G59" s="371"/>
      <c r="H59" s="371"/>
    </row>
    <row r="60" spans="1:8" ht="15">
      <c r="A60" s="371" t="s">
        <v>495</v>
      </c>
      <c r="B60" s="371"/>
      <c r="C60" s="371"/>
      <c r="D60" s="371"/>
      <c r="E60" s="371"/>
      <c r="F60" s="371"/>
      <c r="G60" s="371"/>
      <c r="H60" s="371"/>
    </row>
    <row r="61" spans="1:8" ht="15">
      <c r="A61" s="371" t="s">
        <v>496</v>
      </c>
      <c r="B61" s="371"/>
      <c r="C61" s="371"/>
      <c r="D61" s="371"/>
      <c r="E61" s="371"/>
      <c r="F61" s="371"/>
      <c r="G61" s="371"/>
      <c r="H61" s="371"/>
    </row>
    <row r="62" spans="1:8" ht="15">
      <c r="A62" s="371" t="s">
        <v>497</v>
      </c>
      <c r="B62" s="371"/>
      <c r="C62" s="371"/>
      <c r="D62" s="371"/>
      <c r="E62" s="371"/>
      <c r="F62" s="371"/>
      <c r="G62" s="371"/>
      <c r="H62" s="371"/>
    </row>
    <row r="63" spans="1:8" ht="15">
      <c r="A63" s="371" t="s">
        <v>498</v>
      </c>
      <c r="B63" s="371"/>
      <c r="C63" s="371"/>
      <c r="D63" s="371"/>
      <c r="E63" s="371"/>
      <c r="F63" s="371"/>
      <c r="G63" s="371"/>
      <c r="H63" s="371"/>
    </row>
    <row r="64" spans="1:8" ht="15">
      <c r="A64" s="371" t="s">
        <v>499</v>
      </c>
      <c r="B64" s="371"/>
      <c r="C64" s="371"/>
      <c r="D64" s="371"/>
      <c r="E64" s="371"/>
      <c r="F64" s="371"/>
      <c r="G64" s="371"/>
      <c r="H64" s="371"/>
    </row>
    <row r="65" spans="1:8" ht="15">
      <c r="A65" s="371" t="s">
        <v>500</v>
      </c>
      <c r="B65" s="371"/>
      <c r="C65" s="371"/>
      <c r="D65" s="371"/>
      <c r="E65" s="371"/>
      <c r="F65" s="371"/>
      <c r="G65" s="371"/>
      <c r="H65" s="371"/>
    </row>
    <row r="66" spans="1:8" ht="15">
      <c r="A66" s="371"/>
      <c r="B66" s="371"/>
      <c r="C66" s="371"/>
      <c r="D66" s="371"/>
      <c r="E66" s="371"/>
      <c r="F66" s="371"/>
      <c r="G66" s="371"/>
      <c r="H66" s="371"/>
    </row>
    <row r="67" spans="1:8" ht="15">
      <c r="A67" s="371" t="s">
        <v>501</v>
      </c>
      <c r="B67" s="371"/>
      <c r="C67" s="371"/>
      <c r="D67" s="371"/>
      <c r="E67" s="371"/>
      <c r="F67" s="371"/>
      <c r="G67" s="371"/>
      <c r="H67" s="371"/>
    </row>
    <row r="68" spans="1:8" ht="15">
      <c r="A68" s="371" t="s">
        <v>502</v>
      </c>
      <c r="B68" s="371"/>
      <c r="C68" s="371"/>
      <c r="D68" s="371"/>
      <c r="E68" s="371"/>
      <c r="F68" s="371"/>
      <c r="G68" s="371"/>
      <c r="H68" s="371"/>
    </row>
    <row r="69" spans="1:8" ht="15">
      <c r="A69" s="371" t="s">
        <v>503</v>
      </c>
      <c r="B69" s="371"/>
      <c r="C69" s="371"/>
      <c r="D69" s="371"/>
      <c r="E69" s="371"/>
      <c r="F69" s="371"/>
      <c r="G69" s="371"/>
      <c r="H69" s="371"/>
    </row>
    <row r="70" spans="1:8" ht="15">
      <c r="A70" s="371" t="s">
        <v>504</v>
      </c>
      <c r="B70" s="371"/>
      <c r="C70" s="371"/>
      <c r="D70" s="371"/>
      <c r="E70" s="371"/>
      <c r="F70" s="371"/>
      <c r="G70" s="371"/>
      <c r="H70" s="371"/>
    </row>
    <row r="71" spans="1:8" ht="15">
      <c r="A71" s="371" t="s">
        <v>505</v>
      </c>
      <c r="B71" s="371"/>
      <c r="C71" s="371"/>
      <c r="D71" s="371"/>
      <c r="E71" s="371"/>
      <c r="F71" s="371"/>
      <c r="G71" s="371"/>
      <c r="H71" s="371"/>
    </row>
    <row r="72" spans="1:8" ht="15">
      <c r="A72" s="371" t="s">
        <v>506</v>
      </c>
      <c r="B72" s="371"/>
      <c r="C72" s="371"/>
      <c r="D72" s="371"/>
      <c r="E72" s="371"/>
      <c r="F72" s="371"/>
      <c r="G72" s="371"/>
      <c r="H72" s="371"/>
    </row>
    <row r="73" spans="1:8" ht="15">
      <c r="A73" s="371" t="s">
        <v>507</v>
      </c>
      <c r="B73" s="371"/>
      <c r="C73" s="371"/>
      <c r="D73" s="371"/>
      <c r="E73" s="371"/>
      <c r="F73" s="371"/>
      <c r="G73" s="371"/>
      <c r="H73" s="371"/>
    </row>
    <row r="74" spans="1:8" ht="15">
      <c r="A74" s="371"/>
      <c r="B74" s="371"/>
      <c r="C74" s="371"/>
      <c r="D74" s="371"/>
      <c r="E74" s="371"/>
      <c r="F74" s="371"/>
      <c r="G74" s="371"/>
      <c r="H74" s="371"/>
    </row>
    <row r="75" spans="1:8" ht="15">
      <c r="A75" s="371" t="s">
        <v>508</v>
      </c>
      <c r="B75" s="371"/>
      <c r="C75" s="371"/>
      <c r="D75" s="371"/>
      <c r="E75" s="371"/>
      <c r="F75" s="371"/>
      <c r="G75" s="371"/>
      <c r="H75" s="371"/>
    </row>
    <row r="76" spans="1:8" ht="15">
      <c r="A76" s="371" t="s">
        <v>509</v>
      </c>
      <c r="B76" s="371"/>
      <c r="C76" s="371"/>
      <c r="D76" s="371"/>
      <c r="E76" s="371"/>
      <c r="F76" s="371"/>
      <c r="G76" s="371"/>
      <c r="H76" s="371"/>
    </row>
    <row r="77" spans="1:8" ht="15">
      <c r="A77" s="371" t="s">
        <v>510</v>
      </c>
      <c r="B77" s="371"/>
      <c r="C77" s="371"/>
      <c r="D77" s="371"/>
      <c r="E77" s="371"/>
      <c r="F77" s="371"/>
      <c r="G77" s="371"/>
      <c r="H77" s="371"/>
    </row>
    <row r="78" spans="1:8" ht="15">
      <c r="A78" s="371"/>
      <c r="B78" s="371"/>
      <c r="C78" s="371"/>
      <c r="D78" s="371"/>
      <c r="E78" s="371"/>
      <c r="F78" s="371"/>
      <c r="G78" s="371"/>
      <c r="H78" s="371"/>
    </row>
    <row r="79" ht="15">
      <c r="A79" s="371" t="s">
        <v>455</v>
      </c>
    </row>
    <row r="80" ht="15">
      <c r="A80" s="372"/>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1" ht="15">
      <c r="A91"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3" ht="15">
      <c r="A103" s="371"/>
    </row>
    <row r="104" ht="15">
      <c r="A104" s="371"/>
    </row>
    <row r="105" ht="15">
      <c r="A105" s="371"/>
    </row>
    <row r="107" ht="15">
      <c r="A107" s="372"/>
    </row>
    <row r="108" ht="15">
      <c r="A108" s="372"/>
    </row>
    <row r="109" ht="15">
      <c r="A109" s="37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370" t="s">
        <v>511</v>
      </c>
      <c r="B3" s="370"/>
      <c r="C3" s="370"/>
      <c r="D3" s="370"/>
      <c r="E3" s="370"/>
      <c r="F3" s="370"/>
      <c r="G3" s="370"/>
      <c r="H3" s="370"/>
      <c r="I3" s="370"/>
      <c r="J3" s="370"/>
      <c r="K3" s="370"/>
      <c r="L3" s="370"/>
    </row>
    <row r="4" spans="1:12" ht="15">
      <c r="A4" s="370"/>
      <c r="B4" s="370"/>
      <c r="C4" s="370"/>
      <c r="D4" s="370"/>
      <c r="E4" s="370"/>
      <c r="F4" s="370"/>
      <c r="G4" s="370"/>
      <c r="H4" s="370"/>
      <c r="I4" s="370"/>
      <c r="J4" s="370"/>
      <c r="K4" s="370"/>
      <c r="L4" s="370"/>
    </row>
    <row r="5" spans="1:12" ht="15">
      <c r="A5" s="371" t="s">
        <v>400</v>
      </c>
      <c r="I5" s="370"/>
      <c r="J5" s="370"/>
      <c r="K5" s="370"/>
      <c r="L5" s="370"/>
    </row>
    <row r="6" spans="1:12" ht="15">
      <c r="A6" s="371" t="str">
        <f>CONCATENATE("estimated ",inputPrYr!C10-1," 'total expenditures' exceed your ",inputPrYr!C10-1,"")</f>
        <v>estimated -1 'total expenditures' exceed your -1</v>
      </c>
      <c r="I6" s="370"/>
      <c r="J6" s="370"/>
      <c r="K6" s="370"/>
      <c r="L6" s="370"/>
    </row>
    <row r="7" spans="1:12" ht="15">
      <c r="A7" s="374" t="s">
        <v>512</v>
      </c>
      <c r="I7" s="370"/>
      <c r="J7" s="370"/>
      <c r="K7" s="370"/>
      <c r="L7" s="370"/>
    </row>
    <row r="8" spans="1:12" ht="15">
      <c r="A8" s="371"/>
      <c r="I8" s="370"/>
      <c r="J8" s="370"/>
      <c r="K8" s="370"/>
      <c r="L8" s="370"/>
    </row>
    <row r="9" spans="1:12" ht="15">
      <c r="A9" s="371" t="s">
        <v>513</v>
      </c>
      <c r="I9" s="370"/>
      <c r="J9" s="370"/>
      <c r="K9" s="370"/>
      <c r="L9" s="370"/>
    </row>
    <row r="10" spans="1:12" ht="15">
      <c r="A10" s="371" t="s">
        <v>514</v>
      </c>
      <c r="I10" s="370"/>
      <c r="J10" s="370"/>
      <c r="K10" s="370"/>
      <c r="L10" s="370"/>
    </row>
    <row r="11" spans="1:12" ht="15">
      <c r="A11" s="371" t="s">
        <v>515</v>
      </c>
      <c r="I11" s="370"/>
      <c r="J11" s="370"/>
      <c r="K11" s="370"/>
      <c r="L11" s="370"/>
    </row>
    <row r="12" spans="1:12" ht="15">
      <c r="A12" s="371" t="s">
        <v>516</v>
      </c>
      <c r="I12" s="370"/>
      <c r="J12" s="370"/>
      <c r="K12" s="370"/>
      <c r="L12" s="370"/>
    </row>
    <row r="13" spans="1:12" ht="15">
      <c r="A13" s="371" t="s">
        <v>517</v>
      </c>
      <c r="I13" s="370"/>
      <c r="J13" s="370"/>
      <c r="K13" s="370"/>
      <c r="L13" s="370"/>
    </row>
    <row r="14" spans="1:12" ht="15">
      <c r="A14" s="370"/>
      <c r="B14" s="370"/>
      <c r="C14" s="370"/>
      <c r="D14" s="370"/>
      <c r="E14" s="370"/>
      <c r="F14" s="370"/>
      <c r="G14" s="370"/>
      <c r="H14" s="370"/>
      <c r="I14" s="370"/>
      <c r="J14" s="370"/>
      <c r="K14" s="370"/>
      <c r="L14" s="370"/>
    </row>
    <row r="15" ht="15">
      <c r="A15" s="372" t="s">
        <v>518</v>
      </c>
    </row>
    <row r="16" ht="15">
      <c r="A16" s="372" t="s">
        <v>519</v>
      </c>
    </row>
    <row r="17" ht="15">
      <c r="A17" s="372"/>
    </row>
    <row r="18" spans="1:7" ht="15">
      <c r="A18" s="371" t="s">
        <v>520</v>
      </c>
      <c r="B18" s="371"/>
      <c r="C18" s="371"/>
      <c r="D18" s="371"/>
      <c r="E18" s="371"/>
      <c r="F18" s="371"/>
      <c r="G18" s="371"/>
    </row>
    <row r="19" spans="1:7" ht="15">
      <c r="A19" s="371" t="str">
        <f>CONCATENATE("your ",inputPrYr!C10-1," numbers to see what steps might be necessary to")</f>
        <v>your -1 numbers to see what steps might be necessary to</v>
      </c>
      <c r="B19" s="371"/>
      <c r="C19" s="371"/>
      <c r="D19" s="371"/>
      <c r="E19" s="371"/>
      <c r="F19" s="371"/>
      <c r="G19" s="371"/>
    </row>
    <row r="20" spans="1:7" ht="15">
      <c r="A20" s="371" t="s">
        <v>521</v>
      </c>
      <c r="B20" s="371"/>
      <c r="C20" s="371"/>
      <c r="D20" s="371"/>
      <c r="E20" s="371"/>
      <c r="F20" s="371"/>
      <c r="G20" s="371"/>
    </row>
    <row r="21" spans="1:7" ht="15">
      <c r="A21" s="371" t="s">
        <v>522</v>
      </c>
      <c r="B21" s="371"/>
      <c r="C21" s="371"/>
      <c r="D21" s="371"/>
      <c r="E21" s="371"/>
      <c r="F21" s="371"/>
      <c r="G21" s="371"/>
    </row>
    <row r="22" ht="15">
      <c r="A22" s="371"/>
    </row>
    <row r="23" ht="15">
      <c r="A23" s="372" t="s">
        <v>523</v>
      </c>
    </row>
    <row r="24" ht="15">
      <c r="A24" s="372"/>
    </row>
    <row r="25" ht="15">
      <c r="A25" s="371" t="s">
        <v>524</v>
      </c>
    </row>
    <row r="26" spans="1:6" ht="15">
      <c r="A26" s="371" t="s">
        <v>525</v>
      </c>
      <c r="B26" s="371"/>
      <c r="C26" s="371"/>
      <c r="D26" s="371"/>
      <c r="E26" s="371"/>
      <c r="F26" s="371"/>
    </row>
    <row r="27" spans="1:6" ht="15">
      <c r="A27" s="371" t="s">
        <v>526</v>
      </c>
      <c r="B27" s="371"/>
      <c r="C27" s="371"/>
      <c r="D27" s="371"/>
      <c r="E27" s="371"/>
      <c r="F27" s="371"/>
    </row>
    <row r="28" spans="1:6" ht="15">
      <c r="A28" s="371" t="s">
        <v>527</v>
      </c>
      <c r="B28" s="371"/>
      <c r="C28" s="371"/>
      <c r="D28" s="371"/>
      <c r="E28" s="371"/>
      <c r="F28" s="371"/>
    </row>
    <row r="29" spans="1:6" ht="15">
      <c r="A29" s="371"/>
      <c r="B29" s="371"/>
      <c r="C29" s="371"/>
      <c r="D29" s="371"/>
      <c r="E29" s="371"/>
      <c r="F29" s="371"/>
    </row>
    <row r="30" spans="1:7" ht="15">
      <c r="A30" s="372" t="s">
        <v>528</v>
      </c>
      <c r="B30" s="372"/>
      <c r="C30" s="372"/>
      <c r="D30" s="372"/>
      <c r="E30" s="372"/>
      <c r="F30" s="372"/>
      <c r="G30" s="372"/>
    </row>
    <row r="31" spans="1:7" ht="15">
      <c r="A31" s="372" t="s">
        <v>529</v>
      </c>
      <c r="B31" s="372"/>
      <c r="C31" s="372"/>
      <c r="D31" s="372"/>
      <c r="E31" s="372"/>
      <c r="F31" s="372"/>
      <c r="G31" s="372"/>
    </row>
    <row r="32" spans="1:6" ht="15">
      <c r="A32" s="371"/>
      <c r="B32" s="371"/>
      <c r="C32" s="371"/>
      <c r="D32" s="371"/>
      <c r="E32" s="371"/>
      <c r="F32" s="371"/>
    </row>
    <row r="33" spans="1:6" ht="15">
      <c r="A33" s="375" t="str">
        <f>CONCATENATE("Well, let's look to see if any of your ",inputPrYr!C10-1," expenditures can")</f>
        <v>Well, let's look to see if any of your -1 expenditures can</v>
      </c>
      <c r="B33" s="371"/>
      <c r="C33" s="371"/>
      <c r="D33" s="371"/>
      <c r="E33" s="371"/>
      <c r="F33" s="371"/>
    </row>
    <row r="34" spans="1:6" ht="15">
      <c r="A34" s="375" t="s">
        <v>530</v>
      </c>
      <c r="B34" s="371"/>
      <c r="C34" s="371"/>
      <c r="D34" s="371"/>
      <c r="E34" s="371"/>
      <c r="F34" s="371"/>
    </row>
    <row r="35" spans="1:6" ht="15">
      <c r="A35" s="375" t="s">
        <v>414</v>
      </c>
      <c r="B35" s="371"/>
      <c r="C35" s="371"/>
      <c r="D35" s="371"/>
      <c r="E35" s="371"/>
      <c r="F35" s="371"/>
    </row>
    <row r="36" spans="1:6" ht="15">
      <c r="A36" s="375" t="s">
        <v>415</v>
      </c>
      <c r="B36" s="371"/>
      <c r="C36" s="371"/>
      <c r="D36" s="371"/>
      <c r="E36" s="371"/>
      <c r="F36" s="371"/>
    </row>
    <row r="37" spans="1:6" ht="15">
      <c r="A37" s="375"/>
      <c r="B37" s="371"/>
      <c r="C37" s="371"/>
      <c r="D37" s="371"/>
      <c r="E37" s="371"/>
      <c r="F37" s="371"/>
    </row>
    <row r="38" spans="1:6" ht="15">
      <c r="A38" s="375" t="str">
        <f>CONCATENATE("Additionally, do your ",inputPrYr!C10-1," receipts contain a reimbursement")</f>
        <v>Additionally, do your -1 receipts contain a reimbursement</v>
      </c>
      <c r="B38" s="371"/>
      <c r="C38" s="371"/>
      <c r="D38" s="371"/>
      <c r="E38" s="371"/>
      <c r="F38" s="371"/>
    </row>
    <row r="39" spans="1:6" ht="15">
      <c r="A39" s="375" t="s">
        <v>416</v>
      </c>
      <c r="B39" s="371"/>
      <c r="C39" s="371"/>
      <c r="D39" s="371"/>
      <c r="E39" s="371"/>
      <c r="F39" s="371"/>
    </row>
    <row r="40" spans="1:6" ht="15">
      <c r="A40" s="375" t="s">
        <v>417</v>
      </c>
      <c r="B40" s="371"/>
      <c r="C40" s="371"/>
      <c r="D40" s="371"/>
      <c r="E40" s="371"/>
      <c r="F40" s="371"/>
    </row>
    <row r="41" spans="1:6" ht="15">
      <c r="A41" s="375"/>
      <c r="B41" s="371"/>
      <c r="C41" s="371"/>
      <c r="D41" s="371"/>
      <c r="E41" s="371"/>
      <c r="F41" s="371"/>
    </row>
    <row r="42" spans="1:6" ht="15">
      <c r="A42" s="375" t="s">
        <v>418</v>
      </c>
      <c r="B42" s="371"/>
      <c r="C42" s="371"/>
      <c r="D42" s="371"/>
      <c r="E42" s="371"/>
      <c r="F42" s="371"/>
    </row>
    <row r="43" spans="1:6" ht="15">
      <c r="A43" s="375" t="s">
        <v>419</v>
      </c>
      <c r="B43" s="371"/>
      <c r="C43" s="371"/>
      <c r="D43" s="371"/>
      <c r="E43" s="371"/>
      <c r="F43" s="371"/>
    </row>
    <row r="44" spans="1:6" ht="15">
      <c r="A44" s="375" t="s">
        <v>420</v>
      </c>
      <c r="B44" s="371"/>
      <c r="C44" s="371"/>
      <c r="D44" s="371"/>
      <c r="E44" s="371"/>
      <c r="F44" s="371"/>
    </row>
    <row r="45" spans="1:6" ht="15">
      <c r="A45" s="375" t="s">
        <v>531</v>
      </c>
      <c r="B45" s="371"/>
      <c r="C45" s="371"/>
      <c r="D45" s="371"/>
      <c r="E45" s="371"/>
      <c r="F45" s="371"/>
    </row>
    <row r="46" spans="1:6" ht="15">
      <c r="A46" s="375" t="s">
        <v>422</v>
      </c>
      <c r="B46" s="371"/>
      <c r="C46" s="371"/>
      <c r="D46" s="371"/>
      <c r="E46" s="371"/>
      <c r="F46" s="371"/>
    </row>
    <row r="47" spans="1:6" ht="15">
      <c r="A47" s="375" t="s">
        <v>532</v>
      </c>
      <c r="B47" s="371"/>
      <c r="C47" s="371"/>
      <c r="D47" s="371"/>
      <c r="E47" s="371"/>
      <c r="F47" s="371"/>
    </row>
    <row r="48" spans="1:6" ht="15">
      <c r="A48" s="375" t="s">
        <v>533</v>
      </c>
      <c r="B48" s="371"/>
      <c r="C48" s="371"/>
      <c r="D48" s="371"/>
      <c r="E48" s="371"/>
      <c r="F48" s="371"/>
    </row>
    <row r="49" spans="1:6" ht="15">
      <c r="A49" s="375" t="s">
        <v>425</v>
      </c>
      <c r="B49" s="371"/>
      <c r="C49" s="371"/>
      <c r="D49" s="371"/>
      <c r="E49" s="371"/>
      <c r="F49" s="371"/>
    </row>
    <row r="50" spans="1:6" ht="15">
      <c r="A50" s="375"/>
      <c r="B50" s="371"/>
      <c r="C50" s="371"/>
      <c r="D50" s="371"/>
      <c r="E50" s="371"/>
      <c r="F50" s="371"/>
    </row>
    <row r="51" spans="1:6" ht="15">
      <c r="A51" s="375" t="s">
        <v>426</v>
      </c>
      <c r="B51" s="371"/>
      <c r="C51" s="371"/>
      <c r="D51" s="371"/>
      <c r="E51" s="371"/>
      <c r="F51" s="371"/>
    </row>
    <row r="52" spans="1:6" ht="15">
      <c r="A52" s="375" t="s">
        <v>427</v>
      </c>
      <c r="B52" s="371"/>
      <c r="C52" s="371"/>
      <c r="D52" s="371"/>
      <c r="E52" s="371"/>
      <c r="F52" s="371"/>
    </row>
    <row r="53" spans="1:6" ht="15">
      <c r="A53" s="375" t="s">
        <v>428</v>
      </c>
      <c r="B53" s="371"/>
      <c r="C53" s="371"/>
      <c r="D53" s="371"/>
      <c r="E53" s="371"/>
      <c r="F53" s="371"/>
    </row>
    <row r="54" spans="1:6" ht="15">
      <c r="A54" s="375"/>
      <c r="B54" s="371"/>
      <c r="C54" s="371"/>
      <c r="D54" s="371"/>
      <c r="E54" s="371"/>
      <c r="F54" s="371"/>
    </row>
    <row r="55" spans="1:6" ht="15">
      <c r="A55" s="375" t="s">
        <v>534</v>
      </c>
      <c r="B55" s="371"/>
      <c r="C55" s="371"/>
      <c r="D55" s="371"/>
      <c r="E55" s="371"/>
      <c r="F55" s="371"/>
    </row>
    <row r="56" spans="1:6" ht="15">
      <c r="A56" s="375" t="s">
        <v>535</v>
      </c>
      <c r="B56" s="371"/>
      <c r="C56" s="371"/>
      <c r="D56" s="371"/>
      <c r="E56" s="371"/>
      <c r="F56" s="371"/>
    </row>
    <row r="57" spans="1:6" ht="15">
      <c r="A57" s="375" t="s">
        <v>536</v>
      </c>
      <c r="B57" s="371"/>
      <c r="C57" s="371"/>
      <c r="D57" s="371"/>
      <c r="E57" s="371"/>
      <c r="F57" s="371"/>
    </row>
    <row r="58" spans="1:6" ht="15">
      <c r="A58" s="375" t="s">
        <v>537</v>
      </c>
      <c r="B58" s="371"/>
      <c r="C58" s="371"/>
      <c r="D58" s="371"/>
      <c r="E58" s="371"/>
      <c r="F58" s="371"/>
    </row>
    <row r="59" spans="1:6" ht="15">
      <c r="A59" s="375" t="s">
        <v>538</v>
      </c>
      <c r="B59" s="371"/>
      <c r="C59" s="371"/>
      <c r="D59" s="371"/>
      <c r="E59" s="371"/>
      <c r="F59" s="371"/>
    </row>
    <row r="60" spans="1:6" ht="15">
      <c r="A60" s="375"/>
      <c r="B60" s="371"/>
      <c r="C60" s="371"/>
      <c r="D60" s="371"/>
      <c r="E60" s="371"/>
      <c r="F60" s="371"/>
    </row>
    <row r="61" spans="1:6" ht="15">
      <c r="A61" s="376" t="s">
        <v>539</v>
      </c>
      <c r="B61" s="371"/>
      <c r="C61" s="371"/>
      <c r="D61" s="371"/>
      <c r="E61" s="371"/>
      <c r="F61" s="371"/>
    </row>
    <row r="62" spans="1:6" ht="15">
      <c r="A62" s="376" t="s">
        <v>540</v>
      </c>
      <c r="B62" s="371"/>
      <c r="C62" s="371"/>
      <c r="D62" s="371"/>
      <c r="E62" s="371"/>
      <c r="F62" s="371"/>
    </row>
    <row r="63" spans="1:6" ht="15">
      <c r="A63" s="376" t="s">
        <v>541</v>
      </c>
      <c r="B63" s="371"/>
      <c r="C63" s="371"/>
      <c r="D63" s="371"/>
      <c r="E63" s="371"/>
      <c r="F63" s="371"/>
    </row>
    <row r="64" ht="15">
      <c r="A64" s="376" t="s">
        <v>542</v>
      </c>
    </row>
    <row r="65" ht="15">
      <c r="A65" s="376" t="s">
        <v>543</v>
      </c>
    </row>
    <row r="66" ht="15">
      <c r="A66" s="376" t="s">
        <v>544</v>
      </c>
    </row>
    <row r="68" ht="15">
      <c r="A68" s="371" t="s">
        <v>545</v>
      </c>
    </row>
    <row r="69" ht="15">
      <c r="A69" s="371" t="s">
        <v>546</v>
      </c>
    </row>
    <row r="70" ht="15">
      <c r="A70" s="371" t="s">
        <v>547</v>
      </c>
    </row>
    <row r="71" ht="15">
      <c r="A71" s="371" t="s">
        <v>548</v>
      </c>
    </row>
    <row r="72" ht="15">
      <c r="A72" s="371" t="s">
        <v>549</v>
      </c>
    </row>
    <row r="73" ht="15">
      <c r="A73" s="371" t="s">
        <v>550</v>
      </c>
    </row>
    <row r="75" ht="15">
      <c r="A75" s="371" t="s">
        <v>455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21" sqref="N121"/>
    </sheetView>
  </sheetViews>
  <sheetFormatPr defaultColWidth="8.796875" defaultRowHeight="15"/>
  <cols>
    <col min="1" max="1" width="71.296875" style="0" customWidth="1"/>
  </cols>
  <sheetData>
    <row r="3" spans="1:7" ht="15">
      <c r="A3" s="370" t="s">
        <v>551</v>
      </c>
      <c r="B3" s="370"/>
      <c r="C3" s="370"/>
      <c r="D3" s="370"/>
      <c r="E3" s="370"/>
      <c r="F3" s="370"/>
      <c r="G3" s="370"/>
    </row>
    <row r="4" spans="1:7" ht="15">
      <c r="A4" s="370"/>
      <c r="B4" s="370"/>
      <c r="C4" s="370"/>
      <c r="D4" s="370"/>
      <c r="E4" s="370"/>
      <c r="F4" s="370"/>
      <c r="G4" s="370"/>
    </row>
    <row r="5" ht="15">
      <c r="A5" s="371" t="s">
        <v>457</v>
      </c>
    </row>
    <row r="6" ht="15">
      <c r="A6" s="371" t="str">
        <f>CONCATENATE(inputPrYr!C10," estimated expenditures show that at the end of this year")</f>
        <v> estimated expenditures show that at the end of this year</v>
      </c>
    </row>
    <row r="7" ht="15">
      <c r="A7" s="371" t="s">
        <v>552</v>
      </c>
    </row>
    <row r="8" ht="15">
      <c r="A8" s="371" t="s">
        <v>553</v>
      </c>
    </row>
    <row r="10" ht="15">
      <c r="A10" t="s">
        <v>459</v>
      </c>
    </row>
    <row r="11" ht="15">
      <c r="A11" t="s">
        <v>460</v>
      </c>
    </row>
    <row r="12" ht="15">
      <c r="A12" t="s">
        <v>461</v>
      </c>
    </row>
    <row r="13" spans="1:7" ht="15">
      <c r="A13" s="370"/>
      <c r="B13" s="370"/>
      <c r="C13" s="370"/>
      <c r="D13" s="370"/>
      <c r="E13" s="370"/>
      <c r="F13" s="370"/>
      <c r="G13" s="370"/>
    </row>
    <row r="14" ht="15">
      <c r="A14" s="372" t="s">
        <v>554</v>
      </c>
    </row>
    <row r="15" ht="15">
      <c r="A15" s="371"/>
    </row>
    <row r="16" ht="15">
      <c r="A16" s="371" t="s">
        <v>555</v>
      </c>
    </row>
    <row r="17" ht="15">
      <c r="A17" s="371" t="s">
        <v>556</v>
      </c>
    </row>
    <row r="18" ht="15">
      <c r="A18" s="371" t="s">
        <v>557</v>
      </c>
    </row>
    <row r="19" ht="15">
      <c r="A19" s="371"/>
    </row>
    <row r="20" ht="15">
      <c r="A20" s="371" t="s">
        <v>558</v>
      </c>
    </row>
    <row r="21" ht="15">
      <c r="A21" s="371" t="s">
        <v>559</v>
      </c>
    </row>
    <row r="22" ht="15">
      <c r="A22" s="371" t="s">
        <v>560</v>
      </c>
    </row>
    <row r="23" ht="15">
      <c r="A23" s="371" t="s">
        <v>561</v>
      </c>
    </row>
    <row r="24" ht="15">
      <c r="A24" s="371"/>
    </row>
    <row r="25" ht="15">
      <c r="A25" s="372" t="s">
        <v>523</v>
      </c>
    </row>
    <row r="26" ht="15">
      <c r="A26" s="372"/>
    </row>
    <row r="27" ht="15">
      <c r="A27" s="371" t="s">
        <v>524</v>
      </c>
    </row>
    <row r="28" spans="1:6" ht="15">
      <c r="A28" s="371" t="s">
        <v>525</v>
      </c>
      <c r="B28" s="371"/>
      <c r="C28" s="371"/>
      <c r="D28" s="371"/>
      <c r="E28" s="371"/>
      <c r="F28" s="371"/>
    </row>
    <row r="29" spans="1:6" ht="15">
      <c r="A29" s="371" t="s">
        <v>526</v>
      </c>
      <c r="B29" s="371"/>
      <c r="C29" s="371"/>
      <c r="D29" s="371"/>
      <c r="E29" s="371"/>
      <c r="F29" s="371"/>
    </row>
    <row r="30" spans="1:6" ht="15">
      <c r="A30" s="371" t="s">
        <v>527</v>
      </c>
      <c r="B30" s="371"/>
      <c r="C30" s="371"/>
      <c r="D30" s="371"/>
      <c r="E30" s="371"/>
      <c r="F30" s="371"/>
    </row>
    <row r="31" ht="15">
      <c r="A31" s="371"/>
    </row>
    <row r="32" spans="1:7" ht="15">
      <c r="A32" s="372" t="s">
        <v>528</v>
      </c>
      <c r="B32" s="372"/>
      <c r="C32" s="372"/>
      <c r="D32" s="372"/>
      <c r="E32" s="372"/>
      <c r="F32" s="372"/>
      <c r="G32" s="372"/>
    </row>
    <row r="33" spans="1:7" ht="15">
      <c r="A33" s="372" t="s">
        <v>529</v>
      </c>
      <c r="B33" s="372"/>
      <c r="C33" s="372"/>
      <c r="D33" s="372"/>
      <c r="E33" s="372"/>
      <c r="F33" s="372"/>
      <c r="G33" s="372"/>
    </row>
    <row r="34" spans="1:7" ht="15">
      <c r="A34" s="372"/>
      <c r="B34" s="372"/>
      <c r="C34" s="372"/>
      <c r="D34" s="372"/>
      <c r="E34" s="372"/>
      <c r="F34" s="372"/>
      <c r="G34" s="372"/>
    </row>
    <row r="35" spans="1:7" ht="15">
      <c r="A35" s="371" t="s">
        <v>562</v>
      </c>
      <c r="B35" s="371"/>
      <c r="C35" s="371"/>
      <c r="D35" s="371"/>
      <c r="E35" s="371"/>
      <c r="F35" s="371"/>
      <c r="G35" s="371"/>
    </row>
    <row r="36" spans="1:7" ht="15">
      <c r="A36" s="371" t="s">
        <v>563</v>
      </c>
      <c r="B36" s="371"/>
      <c r="C36" s="371"/>
      <c r="D36" s="371"/>
      <c r="E36" s="371"/>
      <c r="F36" s="371"/>
      <c r="G36" s="371"/>
    </row>
    <row r="37" spans="1:7" ht="15">
      <c r="A37" s="371" t="s">
        <v>564</v>
      </c>
      <c r="B37" s="371"/>
      <c r="C37" s="371"/>
      <c r="D37" s="371"/>
      <c r="E37" s="371"/>
      <c r="F37" s="371"/>
      <c r="G37" s="371"/>
    </row>
    <row r="38" spans="1:7" ht="15">
      <c r="A38" s="371" t="s">
        <v>565</v>
      </c>
      <c r="B38" s="371"/>
      <c r="C38" s="371"/>
      <c r="D38" s="371"/>
      <c r="E38" s="371"/>
      <c r="F38" s="371"/>
      <c r="G38" s="371"/>
    </row>
    <row r="39" spans="1:7" ht="15">
      <c r="A39" s="371" t="s">
        <v>566</v>
      </c>
      <c r="B39" s="371"/>
      <c r="C39" s="371"/>
      <c r="D39" s="371"/>
      <c r="E39" s="371"/>
      <c r="F39" s="371"/>
      <c r="G39" s="371"/>
    </row>
    <row r="40" spans="1:7" ht="15">
      <c r="A40" s="372"/>
      <c r="B40" s="372"/>
      <c r="C40" s="372"/>
      <c r="D40" s="372"/>
      <c r="E40" s="372"/>
      <c r="F40" s="372"/>
      <c r="G40" s="372"/>
    </row>
    <row r="41" spans="1:6" ht="15">
      <c r="A41" s="375" t="str">
        <f>CONCATENATE("So, let's look to see if any of your ",inputPrYr!C10-1," expenditures can")</f>
        <v>So, let's look to see if any of your -1 expenditures can</v>
      </c>
      <c r="B41" s="371"/>
      <c r="C41" s="371"/>
      <c r="D41" s="371"/>
      <c r="E41" s="371"/>
      <c r="F41" s="371"/>
    </row>
    <row r="42" spans="1:6" ht="15">
      <c r="A42" s="375" t="s">
        <v>530</v>
      </c>
      <c r="B42" s="371"/>
      <c r="C42" s="371"/>
      <c r="D42" s="371"/>
      <c r="E42" s="371"/>
      <c r="F42" s="371"/>
    </row>
    <row r="43" spans="1:6" ht="15">
      <c r="A43" s="375" t="s">
        <v>414</v>
      </c>
      <c r="B43" s="371"/>
      <c r="C43" s="371"/>
      <c r="D43" s="371"/>
      <c r="E43" s="371"/>
      <c r="F43" s="371"/>
    </row>
    <row r="44" spans="1:6" ht="15">
      <c r="A44" s="375" t="s">
        <v>415</v>
      </c>
      <c r="B44" s="371"/>
      <c r="C44" s="371"/>
      <c r="D44" s="371"/>
      <c r="E44" s="371"/>
      <c r="F44" s="371"/>
    </row>
    <row r="45" ht="15">
      <c r="A45" s="371"/>
    </row>
    <row r="46" spans="1:6" ht="15">
      <c r="A46" s="375" t="str">
        <f>CONCATENATE("Additionally, do your ",inputPrYr!C10-1," receipts contain a reimbursement")</f>
        <v>Additionally, do your -1 receipts contain a reimbursement</v>
      </c>
      <c r="B46" s="371"/>
      <c r="C46" s="371"/>
      <c r="D46" s="371"/>
      <c r="E46" s="371"/>
      <c r="F46" s="371"/>
    </row>
    <row r="47" spans="1:6" ht="15">
      <c r="A47" s="375" t="s">
        <v>416</v>
      </c>
      <c r="B47" s="371"/>
      <c r="C47" s="371"/>
      <c r="D47" s="371"/>
      <c r="E47" s="371"/>
      <c r="F47" s="371"/>
    </row>
    <row r="48" spans="1:6" ht="15">
      <c r="A48" s="375" t="s">
        <v>417</v>
      </c>
      <c r="B48" s="371"/>
      <c r="C48" s="371"/>
      <c r="D48" s="371"/>
      <c r="E48" s="371"/>
      <c r="F48" s="371"/>
    </row>
    <row r="49" spans="1:7" ht="15">
      <c r="A49" s="371"/>
      <c r="B49" s="371"/>
      <c r="C49" s="371"/>
      <c r="D49" s="371"/>
      <c r="E49" s="371"/>
      <c r="F49" s="371"/>
      <c r="G49" s="371"/>
    </row>
    <row r="50" spans="1:7" ht="15">
      <c r="A50" s="371" t="s">
        <v>484</v>
      </c>
      <c r="B50" s="371"/>
      <c r="C50" s="371"/>
      <c r="D50" s="371"/>
      <c r="E50" s="371"/>
      <c r="F50" s="371"/>
      <c r="G50" s="371"/>
    </row>
    <row r="51" spans="1:7" ht="15">
      <c r="A51" s="371" t="s">
        <v>485</v>
      </c>
      <c r="B51" s="371"/>
      <c r="C51" s="371"/>
      <c r="D51" s="371"/>
      <c r="E51" s="371"/>
      <c r="F51" s="371"/>
      <c r="G51" s="371"/>
    </row>
    <row r="52" spans="1:7" ht="15">
      <c r="A52" s="371" t="s">
        <v>486</v>
      </c>
      <c r="B52" s="371"/>
      <c r="C52" s="371"/>
      <c r="D52" s="371"/>
      <c r="E52" s="371"/>
      <c r="F52" s="371"/>
      <c r="G52" s="371"/>
    </row>
    <row r="53" spans="1:7" ht="15">
      <c r="A53" s="371" t="s">
        <v>487</v>
      </c>
      <c r="B53" s="371"/>
      <c r="C53" s="371"/>
      <c r="D53" s="371"/>
      <c r="E53" s="371"/>
      <c r="F53" s="371"/>
      <c r="G53" s="371"/>
    </row>
    <row r="54" spans="1:7" ht="15">
      <c r="A54" s="371" t="s">
        <v>488</v>
      </c>
      <c r="B54" s="371"/>
      <c r="C54" s="371"/>
      <c r="D54" s="371"/>
      <c r="E54" s="371"/>
      <c r="F54" s="371"/>
      <c r="G54" s="371"/>
    </row>
    <row r="55" spans="1:7" ht="15">
      <c r="A55" s="371"/>
      <c r="B55" s="371"/>
      <c r="C55" s="371"/>
      <c r="D55" s="371"/>
      <c r="E55" s="371"/>
      <c r="F55" s="371"/>
      <c r="G55" s="371"/>
    </row>
    <row r="56" spans="1:6" ht="15">
      <c r="A56" s="375" t="s">
        <v>426</v>
      </c>
      <c r="B56" s="371"/>
      <c r="C56" s="371"/>
      <c r="D56" s="371"/>
      <c r="E56" s="371"/>
      <c r="F56" s="371"/>
    </row>
    <row r="57" spans="1:6" ht="15">
      <c r="A57" s="375" t="s">
        <v>427</v>
      </c>
      <c r="B57" s="371"/>
      <c r="C57" s="371"/>
      <c r="D57" s="371"/>
      <c r="E57" s="371"/>
      <c r="F57" s="371"/>
    </row>
    <row r="58" spans="1:6" ht="15">
      <c r="A58" s="375" t="s">
        <v>428</v>
      </c>
      <c r="B58" s="371"/>
      <c r="C58" s="371"/>
      <c r="D58" s="371"/>
      <c r="E58" s="371"/>
      <c r="F58" s="371"/>
    </row>
    <row r="59" spans="1:6" ht="15">
      <c r="A59" s="375"/>
      <c r="B59" s="371"/>
      <c r="C59" s="371"/>
      <c r="D59" s="371"/>
      <c r="E59" s="371"/>
      <c r="F59" s="371"/>
    </row>
    <row r="60" spans="1:7" ht="15">
      <c r="A60" s="371" t="s">
        <v>567</v>
      </c>
      <c r="B60" s="371"/>
      <c r="C60" s="371"/>
      <c r="D60" s="371"/>
      <c r="E60" s="371"/>
      <c r="F60" s="371"/>
      <c r="G60" s="371"/>
    </row>
    <row r="61" spans="1:7" ht="15">
      <c r="A61" s="371" t="s">
        <v>568</v>
      </c>
      <c r="B61" s="371"/>
      <c r="C61" s="371"/>
      <c r="D61" s="371"/>
      <c r="E61" s="371"/>
      <c r="F61" s="371"/>
      <c r="G61" s="371"/>
    </row>
    <row r="62" spans="1:7" ht="15">
      <c r="A62" s="371" t="s">
        <v>569</v>
      </c>
      <c r="B62" s="371"/>
      <c r="C62" s="371"/>
      <c r="D62" s="371"/>
      <c r="E62" s="371"/>
      <c r="F62" s="371"/>
      <c r="G62" s="371"/>
    </row>
    <row r="63" spans="1:7" ht="15">
      <c r="A63" s="371" t="s">
        <v>570</v>
      </c>
      <c r="B63" s="371"/>
      <c r="C63" s="371"/>
      <c r="D63" s="371"/>
      <c r="E63" s="371"/>
      <c r="F63" s="371"/>
      <c r="G63" s="371"/>
    </row>
    <row r="64" spans="1:7" ht="15">
      <c r="A64" s="371" t="s">
        <v>571</v>
      </c>
      <c r="B64" s="371"/>
      <c r="C64" s="371"/>
      <c r="D64" s="371"/>
      <c r="E64" s="371"/>
      <c r="F64" s="371"/>
      <c r="G64" s="371"/>
    </row>
    <row r="66" spans="1:6" ht="15">
      <c r="A66" s="375" t="s">
        <v>534</v>
      </c>
      <c r="B66" s="371"/>
      <c r="C66" s="371"/>
      <c r="D66" s="371"/>
      <c r="E66" s="371"/>
      <c r="F66" s="371"/>
    </row>
    <row r="67" spans="1:6" ht="15">
      <c r="A67" s="375" t="s">
        <v>535</v>
      </c>
      <c r="B67" s="371"/>
      <c r="C67" s="371"/>
      <c r="D67" s="371"/>
      <c r="E67" s="371"/>
      <c r="F67" s="371"/>
    </row>
    <row r="68" spans="1:6" ht="15">
      <c r="A68" s="375" t="s">
        <v>536</v>
      </c>
      <c r="B68" s="371"/>
      <c r="C68" s="371"/>
      <c r="D68" s="371"/>
      <c r="E68" s="371"/>
      <c r="F68" s="371"/>
    </row>
    <row r="69" spans="1:6" ht="15">
      <c r="A69" s="375" t="s">
        <v>537</v>
      </c>
      <c r="B69" s="371"/>
      <c r="C69" s="371"/>
      <c r="D69" s="371"/>
      <c r="E69" s="371"/>
      <c r="F69" s="371"/>
    </row>
    <row r="70" spans="1:6" ht="15">
      <c r="A70" s="375" t="s">
        <v>538</v>
      </c>
      <c r="B70" s="371"/>
      <c r="C70" s="371"/>
      <c r="D70" s="371"/>
      <c r="E70" s="371"/>
      <c r="F70" s="371"/>
    </row>
    <row r="71" ht="15">
      <c r="A71" s="371"/>
    </row>
    <row r="72" ht="15">
      <c r="A72" s="371" t="s">
        <v>455</v>
      </c>
    </row>
    <row r="73" ht="15">
      <c r="A73" s="371"/>
    </row>
    <row r="74" ht="15">
      <c r="A74" s="371"/>
    </row>
    <row r="75" ht="15">
      <c r="A75" s="371"/>
    </row>
    <row r="78" ht="15">
      <c r="A78" s="372"/>
    </row>
    <row r="80" ht="15">
      <c r="A80" s="371"/>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2" ht="15">
      <c r="A102" s="371"/>
    </row>
    <row r="103" ht="15">
      <c r="A103" s="371"/>
    </row>
    <row r="104" ht="15">
      <c r="A104" s="371"/>
    </row>
    <row r="105" ht="15">
      <c r="A105" s="371"/>
    </row>
    <row r="106" ht="15">
      <c r="A106" s="371"/>
    </row>
  </sheetData>
  <sheetProtection sheet="1" objects="1" scenarios="1"/>
  <printOptions/>
  <pageMargins left="0.7" right="0.7" top="0.75" bottom="0.75" header="0.3" footer="0.3"/>
  <pageSetup horizontalDpi="600" verticalDpi="600" orientation="portrait" r:id="rId1"/>
  <headerFooter>
    <oddFooter>&amp;Lrevised 10/02/09</oddFooter>
  </headerFooter>
</worksheet>
</file>

<file path=xl/worksheets/sheet4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4" sqref="N94"/>
    </sheetView>
  </sheetViews>
  <sheetFormatPr defaultColWidth="8.796875" defaultRowHeight="15"/>
  <cols>
    <col min="1" max="1" width="71.296875" style="0" customWidth="1"/>
  </cols>
  <sheetData>
    <row r="3" spans="1:7" ht="15">
      <c r="A3" s="370" t="s">
        <v>572</v>
      </c>
      <c r="B3" s="370"/>
      <c r="C3" s="370"/>
      <c r="D3" s="370"/>
      <c r="E3" s="370"/>
      <c r="F3" s="370"/>
      <c r="G3" s="370"/>
    </row>
    <row r="4" spans="1:7" ht="15">
      <c r="A4" s="370" t="s">
        <v>573</v>
      </c>
      <c r="B4" s="370"/>
      <c r="C4" s="370"/>
      <c r="D4" s="370"/>
      <c r="E4" s="370"/>
      <c r="F4" s="370"/>
      <c r="G4" s="370"/>
    </row>
    <row r="5" spans="1:7" ht="15">
      <c r="A5" s="370"/>
      <c r="B5" s="370"/>
      <c r="C5" s="370"/>
      <c r="D5" s="370"/>
      <c r="E5" s="370"/>
      <c r="F5" s="370"/>
      <c r="G5" s="370"/>
    </row>
    <row r="6" spans="1:7" ht="15">
      <c r="A6" s="370"/>
      <c r="B6" s="370"/>
      <c r="C6" s="370"/>
      <c r="D6" s="370"/>
      <c r="E6" s="370"/>
      <c r="F6" s="370"/>
      <c r="G6" s="370"/>
    </row>
    <row r="7" ht="15">
      <c r="A7" s="371" t="s">
        <v>400</v>
      </c>
    </row>
    <row r="8" ht="15">
      <c r="A8" s="371" t="str">
        <f>CONCATENATE("estimated ",inputPrYr!C10," 'total expenditures' exceed your ",inputPrYr!C10,"")</f>
        <v>estimated  'total expenditures' exceed your </v>
      </c>
    </row>
    <row r="9" ht="15">
      <c r="A9" s="374" t="s">
        <v>574</v>
      </c>
    </row>
    <row r="10" ht="15">
      <c r="A10" s="371"/>
    </row>
    <row r="11" ht="15">
      <c r="A11" s="371" t="s">
        <v>575</v>
      </c>
    </row>
    <row r="12" ht="15">
      <c r="A12" s="371" t="s">
        <v>576</v>
      </c>
    </row>
    <row r="13" ht="15">
      <c r="A13" s="371" t="s">
        <v>577</v>
      </c>
    </row>
    <row r="14" ht="15">
      <c r="A14" s="371"/>
    </row>
    <row r="15" ht="15">
      <c r="A15" s="372" t="s">
        <v>578</v>
      </c>
    </row>
    <row r="16" spans="1:7" ht="15">
      <c r="A16" s="370"/>
      <c r="B16" s="370"/>
      <c r="C16" s="370"/>
      <c r="D16" s="370"/>
      <c r="E16" s="370"/>
      <c r="F16" s="370"/>
      <c r="G16" s="370"/>
    </row>
    <row r="17" spans="1:8" ht="15">
      <c r="A17" s="377" t="s">
        <v>579</v>
      </c>
      <c r="B17" s="378"/>
      <c r="C17" s="378"/>
      <c r="D17" s="378"/>
      <c r="E17" s="378"/>
      <c r="F17" s="378"/>
      <c r="G17" s="378"/>
      <c r="H17" s="378"/>
    </row>
    <row r="18" spans="1:7" ht="15">
      <c r="A18" s="371" t="s">
        <v>580</v>
      </c>
      <c r="B18" s="379"/>
      <c r="C18" s="379"/>
      <c r="D18" s="379"/>
      <c r="E18" s="379"/>
      <c r="F18" s="379"/>
      <c r="G18" s="379"/>
    </row>
    <row r="19" ht="15">
      <c r="A19" s="371" t="s">
        <v>581</v>
      </c>
    </row>
    <row r="20" ht="15">
      <c r="A20" s="371" t="s">
        <v>582</v>
      </c>
    </row>
    <row r="22" ht="15">
      <c r="A22" s="372" t="s">
        <v>583</v>
      </c>
    </row>
    <row r="24" ht="15">
      <c r="A24" s="371" t="s">
        <v>584</v>
      </c>
    </row>
    <row r="25" ht="15">
      <c r="A25" s="371" t="s">
        <v>585</v>
      </c>
    </row>
    <row r="26" ht="15">
      <c r="A26" s="371" t="s">
        <v>586</v>
      </c>
    </row>
    <row r="28" ht="15">
      <c r="A28" s="372" t="s">
        <v>587</v>
      </c>
    </row>
    <row r="30" ht="15">
      <c r="A30" t="s">
        <v>588</v>
      </c>
    </row>
    <row r="31" ht="15">
      <c r="A31" t="s">
        <v>589</v>
      </c>
    </row>
    <row r="32" ht="15">
      <c r="A32" t="s">
        <v>590</v>
      </c>
    </row>
    <row r="33" ht="15">
      <c r="A33" s="371" t="s">
        <v>591</v>
      </c>
    </row>
    <row r="35" ht="15">
      <c r="A35" t="s">
        <v>592</v>
      </c>
    </row>
    <row r="36" ht="15">
      <c r="A36" t="s">
        <v>593</v>
      </c>
    </row>
    <row r="37" ht="15">
      <c r="A37" t="s">
        <v>594</v>
      </c>
    </row>
    <row r="38" ht="15">
      <c r="A38" t="s">
        <v>595</v>
      </c>
    </row>
    <row r="40" ht="15">
      <c r="A40" t="s">
        <v>596</v>
      </c>
    </row>
    <row r="41" ht="15">
      <c r="A41" t="s">
        <v>597</v>
      </c>
    </row>
    <row r="42" ht="15">
      <c r="A42" t="s">
        <v>598</v>
      </c>
    </row>
    <row r="43" ht="15">
      <c r="A43" t="s">
        <v>599</v>
      </c>
    </row>
    <row r="44" ht="15">
      <c r="A44" t="s">
        <v>600</v>
      </c>
    </row>
    <row r="45" ht="15">
      <c r="A45" t="s">
        <v>601</v>
      </c>
    </row>
    <row r="47" ht="15">
      <c r="A47" t="s">
        <v>602</v>
      </c>
    </row>
    <row r="48" ht="15">
      <c r="A48" t="s">
        <v>603</v>
      </c>
    </row>
    <row r="49" ht="15">
      <c r="A49" s="371" t="s">
        <v>604</v>
      </c>
    </row>
    <row r="50" ht="15">
      <c r="A50" s="371" t="s">
        <v>605</v>
      </c>
    </row>
    <row r="52" ht="15">
      <c r="A52" t="s">
        <v>455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49.xml><?xml version="1.0" encoding="utf-8"?>
<worksheet xmlns="http://schemas.openxmlformats.org/spreadsheetml/2006/main" xmlns:r="http://schemas.openxmlformats.org/officeDocument/2006/relationships">
  <dimension ref="A1:X354"/>
  <sheetViews>
    <sheetView zoomScalePageLayoutView="0" workbookViewId="0" topLeftCell="A1">
      <selection activeCell="V242" sqref="V242"/>
    </sheetView>
  </sheetViews>
  <sheetFormatPr defaultColWidth="8.796875" defaultRowHeight="15"/>
  <cols>
    <col min="1" max="1" width="7.59765625" style="467" customWidth="1"/>
    <col min="2" max="2" width="11.19921875" style="466" customWidth="1"/>
    <col min="3" max="3" width="7.3984375" style="466" customWidth="1"/>
    <col min="4" max="4" width="8.8984375" style="466" customWidth="1"/>
    <col min="5" max="5" width="1.59765625" style="466" customWidth="1"/>
    <col min="6" max="6" width="14.296875" style="466" customWidth="1"/>
    <col min="7" max="7" width="2.59765625" style="466" customWidth="1"/>
    <col min="8" max="8" width="9.796875" style="466" customWidth="1"/>
    <col min="9" max="9" width="2" style="466" customWidth="1"/>
    <col min="10" max="10" width="8.59765625" style="466" customWidth="1"/>
    <col min="11" max="11" width="11.69921875" style="466" customWidth="1"/>
    <col min="12" max="12" width="7.59765625" style="467" customWidth="1"/>
    <col min="13" max="14" width="8.8984375" style="467" customWidth="1"/>
    <col min="15" max="15" width="9.8984375" style="467" bestFit="1" customWidth="1"/>
    <col min="16" max="16384" width="8.8984375" style="467" customWidth="1"/>
  </cols>
  <sheetData>
    <row r="1" spans="1:12" ht="14.25">
      <c r="A1" s="468"/>
      <c r="B1" s="468"/>
      <c r="C1" s="468"/>
      <c r="D1" s="468"/>
      <c r="E1" s="468"/>
      <c r="F1" s="468"/>
      <c r="G1" s="468"/>
      <c r="H1" s="468"/>
      <c r="I1" s="468"/>
      <c r="J1" s="468"/>
      <c r="K1" s="468"/>
      <c r="L1" s="468"/>
    </row>
    <row r="2" spans="1:12" ht="14.25">
      <c r="A2" s="468"/>
      <c r="B2" s="468"/>
      <c r="C2" s="468"/>
      <c r="D2" s="468"/>
      <c r="E2" s="468"/>
      <c r="F2" s="468"/>
      <c r="G2" s="468"/>
      <c r="H2" s="468"/>
      <c r="I2" s="468"/>
      <c r="J2" s="468"/>
      <c r="K2" s="468"/>
      <c r="L2" s="468"/>
    </row>
    <row r="3" spans="1:12" ht="14.25">
      <c r="A3" s="468"/>
      <c r="B3" s="468"/>
      <c r="C3" s="468"/>
      <c r="D3" s="468"/>
      <c r="E3" s="468"/>
      <c r="F3" s="468"/>
      <c r="G3" s="468"/>
      <c r="H3" s="468"/>
      <c r="I3" s="468"/>
      <c r="J3" s="468"/>
      <c r="K3" s="468"/>
      <c r="L3" s="468"/>
    </row>
    <row r="4" spans="1:12" ht="14.25">
      <c r="A4" s="468"/>
      <c r="L4" s="468"/>
    </row>
    <row r="5" spans="1:12" ht="15" customHeight="1">
      <c r="A5" s="468"/>
      <c r="L5" s="468"/>
    </row>
    <row r="6" spans="1:12" ht="33" customHeight="1">
      <c r="A6" s="468"/>
      <c r="B6" s="1038" t="s">
        <v>1009</v>
      </c>
      <c r="C6" s="1039"/>
      <c r="D6" s="1039"/>
      <c r="E6" s="1039"/>
      <c r="F6" s="1039"/>
      <c r="G6" s="1039"/>
      <c r="H6" s="1039"/>
      <c r="I6" s="1039"/>
      <c r="J6" s="1039"/>
      <c r="K6" s="1039"/>
      <c r="L6" s="465"/>
    </row>
    <row r="7" spans="1:12" ht="40.5" customHeight="1">
      <c r="A7" s="468"/>
      <c r="B7" s="1040" t="s">
        <v>675</v>
      </c>
      <c r="C7" s="1041"/>
      <c r="D7" s="1041"/>
      <c r="E7" s="1041"/>
      <c r="F7" s="1041"/>
      <c r="G7" s="1041"/>
      <c r="H7" s="1041"/>
      <c r="I7" s="1041"/>
      <c r="J7" s="1041"/>
      <c r="K7" s="1041"/>
      <c r="L7" s="468"/>
    </row>
    <row r="8" spans="1:12" ht="14.25">
      <c r="A8" s="468"/>
      <c r="B8" s="1042" t="s">
        <v>676</v>
      </c>
      <c r="C8" s="1042"/>
      <c r="D8" s="1042"/>
      <c r="E8" s="1042"/>
      <c r="F8" s="1042"/>
      <c r="G8" s="1042"/>
      <c r="H8" s="1042"/>
      <c r="I8" s="1042"/>
      <c r="J8" s="1042"/>
      <c r="K8" s="1042"/>
      <c r="L8" s="468"/>
    </row>
    <row r="9" spans="1:12" ht="14.25">
      <c r="A9" s="468"/>
      <c r="L9" s="468"/>
    </row>
    <row r="10" spans="1:12" ht="14.25">
      <c r="A10" s="468"/>
      <c r="B10" s="1042" t="s">
        <v>677</v>
      </c>
      <c r="C10" s="1042"/>
      <c r="D10" s="1042"/>
      <c r="E10" s="1042"/>
      <c r="F10" s="1042"/>
      <c r="G10" s="1042"/>
      <c r="H10" s="1042"/>
      <c r="I10" s="1042"/>
      <c r="J10" s="1042"/>
      <c r="K10" s="1042"/>
      <c r="L10" s="468"/>
    </row>
    <row r="11" spans="1:12" ht="14.25">
      <c r="A11" s="468"/>
      <c r="B11" s="569"/>
      <c r="C11" s="569"/>
      <c r="D11" s="569"/>
      <c r="E11" s="569"/>
      <c r="F11" s="569"/>
      <c r="G11" s="569"/>
      <c r="H11" s="569"/>
      <c r="I11" s="569"/>
      <c r="J11" s="569"/>
      <c r="K11" s="569"/>
      <c r="L11" s="468"/>
    </row>
    <row r="12" spans="1:12" ht="32.25" customHeight="1">
      <c r="A12" s="468"/>
      <c r="B12" s="1043" t="s">
        <v>678</v>
      </c>
      <c r="C12" s="1043"/>
      <c r="D12" s="1043"/>
      <c r="E12" s="1043"/>
      <c r="F12" s="1043"/>
      <c r="G12" s="1043"/>
      <c r="H12" s="1043"/>
      <c r="I12" s="1043"/>
      <c r="J12" s="1043"/>
      <c r="K12" s="1043"/>
      <c r="L12" s="468"/>
    </row>
    <row r="13" spans="1:12" ht="14.25">
      <c r="A13" s="468"/>
      <c r="L13" s="468"/>
    </row>
    <row r="14" spans="1:12" ht="14.25">
      <c r="A14" s="468"/>
      <c r="B14" s="464" t="s">
        <v>679</v>
      </c>
      <c r="L14" s="468"/>
    </row>
    <row r="15" spans="1:12" ht="14.25">
      <c r="A15" s="468"/>
      <c r="L15" s="468"/>
    </row>
    <row r="16" spans="1:12" ht="14.25">
      <c r="A16" s="468"/>
      <c r="B16" s="466" t="s">
        <v>680</v>
      </c>
      <c r="L16" s="468"/>
    </row>
    <row r="17" spans="1:12" ht="14.25">
      <c r="A17" s="468"/>
      <c r="B17" s="466" t="s">
        <v>681</v>
      </c>
      <c r="L17" s="468"/>
    </row>
    <row r="18" spans="1:12" ht="14.25">
      <c r="A18" s="468"/>
      <c r="L18" s="468"/>
    </row>
    <row r="19" spans="1:12" ht="14.25">
      <c r="A19" s="468"/>
      <c r="B19" s="464" t="s">
        <v>857</v>
      </c>
      <c r="L19" s="468"/>
    </row>
    <row r="20" spans="1:12" ht="14.25">
      <c r="A20" s="468"/>
      <c r="B20" s="464"/>
      <c r="L20" s="468"/>
    </row>
    <row r="21" spans="1:12" ht="14.25">
      <c r="A21" s="468"/>
      <c r="B21" s="466" t="s">
        <v>858</v>
      </c>
      <c r="L21" s="468"/>
    </row>
    <row r="22" spans="1:12" ht="14.25">
      <c r="A22" s="468"/>
      <c r="L22" s="468"/>
    </row>
    <row r="23" spans="1:12" ht="14.25">
      <c r="A23" s="468"/>
      <c r="B23" s="466" t="s">
        <v>682</v>
      </c>
      <c r="E23" s="466" t="s">
        <v>683</v>
      </c>
      <c r="F23" s="1045">
        <v>312000000</v>
      </c>
      <c r="G23" s="1045"/>
      <c r="L23" s="468"/>
    </row>
    <row r="24" spans="1:12" ht="14.25">
      <c r="A24" s="468"/>
      <c r="L24" s="468"/>
    </row>
    <row r="25" spans="1:12" ht="14.25">
      <c r="A25" s="468"/>
      <c r="C25" s="1044">
        <f>F23</f>
        <v>312000000</v>
      </c>
      <c r="D25" s="1044"/>
      <c r="E25" s="466" t="s">
        <v>684</v>
      </c>
      <c r="F25" s="463">
        <v>1000</v>
      </c>
      <c r="G25" s="463" t="s">
        <v>683</v>
      </c>
      <c r="H25" s="801">
        <f>F23/F25</f>
        <v>312000</v>
      </c>
      <c r="L25" s="468"/>
    </row>
    <row r="26" spans="1:12" ht="15" thickBot="1">
      <c r="A26" s="468"/>
      <c r="L26" s="468"/>
    </row>
    <row r="27" spans="1:12" ht="14.25">
      <c r="A27" s="468"/>
      <c r="B27" s="462" t="s">
        <v>679</v>
      </c>
      <c r="C27" s="461"/>
      <c r="D27" s="461"/>
      <c r="E27" s="461"/>
      <c r="F27" s="461"/>
      <c r="G27" s="461"/>
      <c r="H27" s="461"/>
      <c r="I27" s="461"/>
      <c r="J27" s="461"/>
      <c r="K27" s="460"/>
      <c r="L27" s="468"/>
    </row>
    <row r="28" spans="1:12" ht="14.25">
      <c r="A28" s="468"/>
      <c r="B28" s="459">
        <f>F23</f>
        <v>312000000</v>
      </c>
      <c r="C28" s="458" t="s">
        <v>685</v>
      </c>
      <c r="D28" s="458"/>
      <c r="E28" s="458" t="s">
        <v>684</v>
      </c>
      <c r="F28" s="571">
        <v>1000</v>
      </c>
      <c r="G28" s="571" t="s">
        <v>683</v>
      </c>
      <c r="H28" s="802">
        <f>B28/F28</f>
        <v>312000</v>
      </c>
      <c r="I28" s="458" t="s">
        <v>686</v>
      </c>
      <c r="J28" s="458"/>
      <c r="K28" s="457"/>
      <c r="L28" s="468"/>
    </row>
    <row r="29" spans="1:12" ht="15" thickBot="1">
      <c r="A29" s="468"/>
      <c r="B29" s="409"/>
      <c r="C29" s="454"/>
      <c r="D29" s="454"/>
      <c r="E29" s="454"/>
      <c r="F29" s="454"/>
      <c r="G29" s="454"/>
      <c r="H29" s="454"/>
      <c r="I29" s="454"/>
      <c r="J29" s="454"/>
      <c r="K29" s="453"/>
      <c r="L29" s="468"/>
    </row>
    <row r="30" spans="1:12" ht="40.5" customHeight="1">
      <c r="A30" s="468"/>
      <c r="B30" s="1049" t="s">
        <v>675</v>
      </c>
      <c r="C30" s="1049"/>
      <c r="D30" s="1049"/>
      <c r="E30" s="1049"/>
      <c r="F30" s="1049"/>
      <c r="G30" s="1049"/>
      <c r="H30" s="1049"/>
      <c r="I30" s="1049"/>
      <c r="J30" s="1049"/>
      <c r="K30" s="1049"/>
      <c r="L30" s="468"/>
    </row>
    <row r="31" spans="1:12" ht="14.25">
      <c r="A31" s="468"/>
      <c r="B31" s="1042" t="s">
        <v>687</v>
      </c>
      <c r="C31" s="1042"/>
      <c r="D31" s="1042"/>
      <c r="E31" s="1042"/>
      <c r="F31" s="1042"/>
      <c r="G31" s="1042"/>
      <c r="H31" s="1042"/>
      <c r="I31" s="1042"/>
      <c r="J31" s="1042"/>
      <c r="K31" s="1042"/>
      <c r="L31" s="468"/>
    </row>
    <row r="32" spans="1:12" ht="14.25">
      <c r="A32" s="468"/>
      <c r="L32" s="468"/>
    </row>
    <row r="33" spans="1:12" ht="14.25">
      <c r="A33" s="468"/>
      <c r="B33" s="1042" t="s">
        <v>688</v>
      </c>
      <c r="C33" s="1042"/>
      <c r="D33" s="1042"/>
      <c r="E33" s="1042"/>
      <c r="F33" s="1042"/>
      <c r="G33" s="1042"/>
      <c r="H33" s="1042"/>
      <c r="I33" s="1042"/>
      <c r="J33" s="1042"/>
      <c r="K33" s="1042"/>
      <c r="L33" s="468"/>
    </row>
    <row r="34" spans="1:12" ht="14.25">
      <c r="A34" s="468"/>
      <c r="L34" s="468"/>
    </row>
    <row r="35" spans="1:12" ht="89.25" customHeight="1">
      <c r="A35" s="468"/>
      <c r="B35" s="1043" t="s">
        <v>689</v>
      </c>
      <c r="C35" s="1046"/>
      <c r="D35" s="1046"/>
      <c r="E35" s="1046"/>
      <c r="F35" s="1046"/>
      <c r="G35" s="1046"/>
      <c r="H35" s="1046"/>
      <c r="I35" s="1046"/>
      <c r="J35" s="1046"/>
      <c r="K35" s="1046"/>
      <c r="L35" s="468"/>
    </row>
    <row r="36" spans="1:12" ht="14.25">
      <c r="A36" s="468"/>
      <c r="L36" s="468"/>
    </row>
    <row r="37" spans="1:12" ht="14.25">
      <c r="A37" s="468"/>
      <c r="B37" s="464" t="s">
        <v>690</v>
      </c>
      <c r="L37" s="468"/>
    </row>
    <row r="38" spans="1:12" ht="14.25">
      <c r="A38" s="468"/>
      <c r="L38" s="468"/>
    </row>
    <row r="39" spans="1:12" ht="14.25">
      <c r="A39" s="468"/>
      <c r="B39" s="466" t="s">
        <v>691</v>
      </c>
      <c r="L39" s="468"/>
    </row>
    <row r="40" spans="1:12" ht="14.25">
      <c r="A40" s="468"/>
      <c r="L40" s="468"/>
    </row>
    <row r="41" spans="1:12" ht="14.25">
      <c r="A41" s="468"/>
      <c r="C41" s="1052">
        <v>312000000</v>
      </c>
      <c r="D41" s="1052"/>
      <c r="E41" s="466" t="s">
        <v>684</v>
      </c>
      <c r="F41" s="463">
        <v>1000</v>
      </c>
      <c r="G41" s="463" t="s">
        <v>683</v>
      </c>
      <c r="H41" s="803">
        <f>C41/F41</f>
        <v>312000</v>
      </c>
      <c r="L41" s="468"/>
    </row>
    <row r="42" spans="1:12" ht="14.25">
      <c r="A42" s="468"/>
      <c r="L42" s="468"/>
    </row>
    <row r="43" spans="1:12" ht="14.25">
      <c r="A43" s="468"/>
      <c r="B43" s="466" t="s">
        <v>692</v>
      </c>
      <c r="L43" s="468"/>
    </row>
    <row r="44" spans="1:12" ht="14.25">
      <c r="A44" s="468"/>
      <c r="L44" s="468"/>
    </row>
    <row r="45" spans="1:12" ht="14.25">
      <c r="A45" s="468"/>
      <c r="B45" s="466" t="s">
        <v>693</v>
      </c>
      <c r="L45" s="468"/>
    </row>
    <row r="46" spans="1:12" ht="15" thickBot="1">
      <c r="A46" s="468"/>
      <c r="L46" s="468"/>
    </row>
    <row r="47" spans="1:12" ht="14.25">
      <c r="A47" s="468"/>
      <c r="B47" s="410" t="s">
        <v>679</v>
      </c>
      <c r="C47" s="461"/>
      <c r="D47" s="461"/>
      <c r="E47" s="461"/>
      <c r="F47" s="461"/>
      <c r="G47" s="461"/>
      <c r="H47" s="461"/>
      <c r="I47" s="461"/>
      <c r="J47" s="461"/>
      <c r="K47" s="460"/>
      <c r="L47" s="468"/>
    </row>
    <row r="48" spans="1:12" ht="14.25">
      <c r="A48" s="468"/>
      <c r="B48" s="1053">
        <v>312000000</v>
      </c>
      <c r="C48" s="1045"/>
      <c r="D48" s="458" t="s">
        <v>694</v>
      </c>
      <c r="E48" s="458" t="s">
        <v>684</v>
      </c>
      <c r="F48" s="571">
        <v>1000</v>
      </c>
      <c r="G48" s="571" t="s">
        <v>683</v>
      </c>
      <c r="H48" s="802">
        <f>B48/F48</f>
        <v>312000</v>
      </c>
      <c r="I48" s="458" t="s">
        <v>695</v>
      </c>
      <c r="J48" s="458"/>
      <c r="K48" s="457"/>
      <c r="L48" s="468"/>
    </row>
    <row r="49" spans="1:12" ht="14.25">
      <c r="A49" s="468"/>
      <c r="B49" s="411"/>
      <c r="C49" s="458"/>
      <c r="D49" s="458"/>
      <c r="E49" s="458"/>
      <c r="F49" s="458"/>
      <c r="G49" s="458"/>
      <c r="H49" s="458"/>
      <c r="I49" s="458"/>
      <c r="J49" s="458"/>
      <c r="K49" s="457"/>
      <c r="L49" s="468"/>
    </row>
    <row r="50" spans="1:12" ht="14.25">
      <c r="A50" s="468"/>
      <c r="B50" s="412">
        <v>50000</v>
      </c>
      <c r="C50" s="458" t="s">
        <v>696</v>
      </c>
      <c r="D50" s="458"/>
      <c r="E50" s="458" t="s">
        <v>684</v>
      </c>
      <c r="F50" s="802">
        <f>H48</f>
        <v>312000</v>
      </c>
      <c r="G50" s="1054" t="s">
        <v>697</v>
      </c>
      <c r="H50" s="1055"/>
      <c r="I50" s="571" t="s">
        <v>683</v>
      </c>
      <c r="J50" s="413">
        <f>B50/F50</f>
        <v>0.16025641025641027</v>
      </c>
      <c r="K50" s="457"/>
      <c r="L50" s="468"/>
    </row>
    <row r="51" spans="1:15" ht="15" thickBot="1">
      <c r="A51" s="468"/>
      <c r="B51" s="409"/>
      <c r="C51" s="454"/>
      <c r="D51" s="454"/>
      <c r="E51" s="454"/>
      <c r="F51" s="454"/>
      <c r="G51" s="454"/>
      <c r="H51" s="454"/>
      <c r="I51" s="1047" t="s">
        <v>698</v>
      </c>
      <c r="J51" s="1047"/>
      <c r="K51" s="1048"/>
      <c r="L51" s="468"/>
      <c r="O51" s="550"/>
    </row>
    <row r="52" spans="1:12" ht="40.5" customHeight="1">
      <c r="A52" s="468"/>
      <c r="B52" s="1049" t="s">
        <v>675</v>
      </c>
      <c r="C52" s="1049"/>
      <c r="D52" s="1049"/>
      <c r="E52" s="1049"/>
      <c r="F52" s="1049"/>
      <c r="G52" s="1049"/>
      <c r="H52" s="1049"/>
      <c r="I52" s="1049"/>
      <c r="J52" s="1049"/>
      <c r="K52" s="1049"/>
      <c r="L52" s="468"/>
    </row>
    <row r="53" spans="1:12" ht="14.25">
      <c r="A53" s="468"/>
      <c r="B53" s="1042" t="s">
        <v>699</v>
      </c>
      <c r="C53" s="1042"/>
      <c r="D53" s="1042"/>
      <c r="E53" s="1042"/>
      <c r="F53" s="1042"/>
      <c r="G53" s="1042"/>
      <c r="H53" s="1042"/>
      <c r="I53" s="1042"/>
      <c r="J53" s="1042"/>
      <c r="K53" s="1042"/>
      <c r="L53" s="468"/>
    </row>
    <row r="54" spans="1:12" ht="14.25">
      <c r="A54" s="468"/>
      <c r="B54" s="569"/>
      <c r="C54" s="569"/>
      <c r="D54" s="569"/>
      <c r="E54" s="569"/>
      <c r="F54" s="569"/>
      <c r="G54" s="569"/>
      <c r="H54" s="569"/>
      <c r="I54" s="569"/>
      <c r="J54" s="569"/>
      <c r="K54" s="569"/>
      <c r="L54" s="468"/>
    </row>
    <row r="55" spans="1:12" ht="14.25">
      <c r="A55" s="468"/>
      <c r="B55" s="1038" t="s">
        <v>700</v>
      </c>
      <c r="C55" s="1038"/>
      <c r="D55" s="1038"/>
      <c r="E55" s="1038"/>
      <c r="F55" s="1038"/>
      <c r="G55" s="1038"/>
      <c r="H55" s="1038"/>
      <c r="I55" s="1038"/>
      <c r="J55" s="1038"/>
      <c r="K55" s="1038"/>
      <c r="L55" s="468"/>
    </row>
    <row r="56" spans="1:12" ht="15" customHeight="1">
      <c r="A56" s="468"/>
      <c r="L56" s="468"/>
    </row>
    <row r="57" spans="1:24" ht="74.25" customHeight="1">
      <c r="A57" s="468"/>
      <c r="B57" s="1043" t="s">
        <v>701</v>
      </c>
      <c r="C57" s="1046"/>
      <c r="D57" s="1046"/>
      <c r="E57" s="1046"/>
      <c r="F57" s="1046"/>
      <c r="G57" s="1046"/>
      <c r="H57" s="1046"/>
      <c r="I57" s="1046"/>
      <c r="J57" s="1046"/>
      <c r="K57" s="1046"/>
      <c r="L57" s="468"/>
      <c r="M57" s="414"/>
      <c r="N57" s="415"/>
      <c r="O57" s="415"/>
      <c r="P57" s="415"/>
      <c r="Q57" s="415"/>
      <c r="R57" s="415"/>
      <c r="S57" s="415"/>
      <c r="T57" s="415"/>
      <c r="U57" s="415"/>
      <c r="V57" s="415"/>
      <c r="W57" s="415"/>
      <c r="X57" s="415"/>
    </row>
    <row r="58" spans="1:24" ht="15" customHeight="1">
      <c r="A58" s="468"/>
      <c r="B58" s="1043"/>
      <c r="C58" s="1046"/>
      <c r="D58" s="1046"/>
      <c r="E58" s="1046"/>
      <c r="F58" s="1046"/>
      <c r="G58" s="1046"/>
      <c r="H58" s="1046"/>
      <c r="I58" s="1046"/>
      <c r="J58" s="1046"/>
      <c r="K58" s="1046"/>
      <c r="L58" s="468"/>
      <c r="M58" s="414"/>
      <c r="N58" s="415"/>
      <c r="O58" s="415"/>
      <c r="P58" s="415"/>
      <c r="Q58" s="415"/>
      <c r="R58" s="415"/>
      <c r="S58" s="415"/>
      <c r="T58" s="415"/>
      <c r="U58" s="415"/>
      <c r="V58" s="415"/>
      <c r="W58" s="415"/>
      <c r="X58" s="415"/>
    </row>
    <row r="59" spans="1:24" ht="14.25">
      <c r="A59" s="468"/>
      <c r="B59" s="464" t="s">
        <v>690</v>
      </c>
      <c r="L59" s="468"/>
      <c r="M59" s="415"/>
      <c r="N59" s="415"/>
      <c r="O59" s="415"/>
      <c r="P59" s="415"/>
      <c r="Q59" s="415"/>
      <c r="R59" s="415"/>
      <c r="S59" s="415"/>
      <c r="T59" s="415"/>
      <c r="U59" s="415"/>
      <c r="V59" s="415"/>
      <c r="W59" s="415"/>
      <c r="X59" s="415"/>
    </row>
    <row r="60" spans="1:24" ht="14.25">
      <c r="A60" s="468"/>
      <c r="L60" s="468"/>
      <c r="M60" s="415"/>
      <c r="N60" s="415"/>
      <c r="O60" s="415"/>
      <c r="P60" s="415"/>
      <c r="Q60" s="415"/>
      <c r="R60" s="415"/>
      <c r="S60" s="415"/>
      <c r="T60" s="415"/>
      <c r="U60" s="415"/>
      <c r="V60" s="415"/>
      <c r="W60" s="415"/>
      <c r="X60" s="415"/>
    </row>
    <row r="61" spans="1:24" ht="14.25">
      <c r="A61" s="468"/>
      <c r="B61" s="466" t="s">
        <v>702</v>
      </c>
      <c r="L61" s="468"/>
      <c r="M61" s="415"/>
      <c r="N61" s="415"/>
      <c r="O61" s="415"/>
      <c r="P61" s="415"/>
      <c r="Q61" s="415"/>
      <c r="R61" s="415"/>
      <c r="S61" s="415"/>
      <c r="T61" s="415"/>
      <c r="U61" s="415"/>
      <c r="V61" s="415"/>
      <c r="W61" s="415"/>
      <c r="X61" s="415"/>
    </row>
    <row r="62" spans="1:24" ht="14.25">
      <c r="A62" s="468"/>
      <c r="B62" s="466" t="s">
        <v>859</v>
      </c>
      <c r="L62" s="468"/>
      <c r="M62" s="415"/>
      <c r="N62" s="415"/>
      <c r="O62" s="415"/>
      <c r="P62" s="415"/>
      <c r="Q62" s="415"/>
      <c r="R62" s="415"/>
      <c r="S62" s="415"/>
      <c r="T62" s="415"/>
      <c r="U62" s="415"/>
      <c r="V62" s="415"/>
      <c r="W62" s="415"/>
      <c r="X62" s="415"/>
    </row>
    <row r="63" spans="1:24" ht="14.25">
      <c r="A63" s="468"/>
      <c r="B63" s="466" t="s">
        <v>860</v>
      </c>
      <c r="L63" s="468"/>
      <c r="M63" s="415"/>
      <c r="N63" s="415"/>
      <c r="O63" s="415"/>
      <c r="P63" s="415"/>
      <c r="Q63" s="415"/>
      <c r="R63" s="415"/>
      <c r="S63" s="415"/>
      <c r="T63" s="415"/>
      <c r="U63" s="415"/>
      <c r="V63" s="415"/>
      <c r="W63" s="415"/>
      <c r="X63" s="415"/>
    </row>
    <row r="64" spans="1:24" ht="14.25">
      <c r="A64" s="468"/>
      <c r="L64" s="468"/>
      <c r="M64" s="415"/>
      <c r="N64" s="415"/>
      <c r="O64" s="415"/>
      <c r="P64" s="415"/>
      <c r="Q64" s="415"/>
      <c r="R64" s="415"/>
      <c r="S64" s="415"/>
      <c r="T64" s="415"/>
      <c r="U64" s="415"/>
      <c r="V64" s="415"/>
      <c r="W64" s="415"/>
      <c r="X64" s="415"/>
    </row>
    <row r="65" spans="1:24" ht="14.25">
      <c r="A65" s="468"/>
      <c r="B65" s="466" t="s">
        <v>703</v>
      </c>
      <c r="L65" s="468"/>
      <c r="M65" s="415"/>
      <c r="N65" s="415"/>
      <c r="O65" s="415"/>
      <c r="P65" s="415"/>
      <c r="Q65" s="415"/>
      <c r="R65" s="415"/>
      <c r="S65" s="415"/>
      <c r="T65" s="415"/>
      <c r="U65" s="415"/>
      <c r="V65" s="415"/>
      <c r="W65" s="415"/>
      <c r="X65" s="415"/>
    </row>
    <row r="66" spans="1:24" ht="14.25">
      <c r="A66" s="468"/>
      <c r="B66" s="466" t="s">
        <v>704</v>
      </c>
      <c r="L66" s="468"/>
      <c r="M66" s="415"/>
      <c r="N66" s="415"/>
      <c r="O66" s="415"/>
      <c r="P66" s="415"/>
      <c r="Q66" s="415"/>
      <c r="R66" s="415"/>
      <c r="S66" s="415"/>
      <c r="T66" s="415"/>
      <c r="U66" s="415"/>
      <c r="V66" s="415"/>
      <c r="W66" s="415"/>
      <c r="X66" s="415"/>
    </row>
    <row r="67" spans="1:24" ht="14.25">
      <c r="A67" s="468"/>
      <c r="L67" s="468"/>
      <c r="M67" s="415"/>
      <c r="N67" s="415"/>
      <c r="O67" s="415"/>
      <c r="P67" s="415"/>
      <c r="Q67" s="415"/>
      <c r="R67" s="415"/>
      <c r="S67" s="415"/>
      <c r="T67" s="415"/>
      <c r="U67" s="415"/>
      <c r="V67" s="415"/>
      <c r="W67" s="415"/>
      <c r="X67" s="415"/>
    </row>
    <row r="68" spans="1:24" ht="14.25">
      <c r="A68" s="468"/>
      <c r="B68" s="466" t="s">
        <v>705</v>
      </c>
      <c r="L68" s="468"/>
      <c r="M68" s="416"/>
      <c r="N68" s="417"/>
      <c r="O68" s="417"/>
      <c r="P68" s="417"/>
      <c r="Q68" s="417"/>
      <c r="R68" s="417"/>
      <c r="S68" s="417"/>
      <c r="T68" s="417"/>
      <c r="U68" s="417"/>
      <c r="V68" s="417"/>
      <c r="W68" s="417"/>
      <c r="X68" s="415"/>
    </row>
    <row r="69" spans="1:24" ht="14.25">
      <c r="A69" s="468"/>
      <c r="B69" s="466" t="s">
        <v>861</v>
      </c>
      <c r="L69" s="468"/>
      <c r="M69" s="415"/>
      <c r="N69" s="415"/>
      <c r="O69" s="415"/>
      <c r="P69" s="415"/>
      <c r="Q69" s="415"/>
      <c r="R69" s="415"/>
      <c r="S69" s="415"/>
      <c r="T69" s="415"/>
      <c r="U69" s="415"/>
      <c r="V69" s="415"/>
      <c r="W69" s="415"/>
      <c r="X69" s="415"/>
    </row>
    <row r="70" spans="1:24" ht="14.25">
      <c r="A70" s="468"/>
      <c r="B70" s="466" t="s">
        <v>862</v>
      </c>
      <c r="L70" s="468"/>
      <c r="M70" s="415"/>
      <c r="N70" s="415"/>
      <c r="O70" s="415"/>
      <c r="P70" s="415"/>
      <c r="Q70" s="415"/>
      <c r="R70" s="415"/>
      <c r="S70" s="415"/>
      <c r="T70" s="415"/>
      <c r="U70" s="415"/>
      <c r="V70" s="415"/>
      <c r="W70" s="415"/>
      <c r="X70" s="415"/>
    </row>
    <row r="71" spans="1:12" ht="15" thickBot="1">
      <c r="A71" s="468"/>
      <c r="B71" s="458"/>
      <c r="C71" s="458"/>
      <c r="D71" s="458"/>
      <c r="E71" s="458"/>
      <c r="F71" s="458"/>
      <c r="G71" s="458"/>
      <c r="H71" s="458"/>
      <c r="I71" s="458"/>
      <c r="J71" s="458"/>
      <c r="K71" s="458"/>
      <c r="L71" s="468"/>
    </row>
    <row r="72" spans="1:12" ht="14.25">
      <c r="A72" s="468"/>
      <c r="B72" s="462" t="s">
        <v>679</v>
      </c>
      <c r="C72" s="461"/>
      <c r="D72" s="461"/>
      <c r="E72" s="461"/>
      <c r="F72" s="461"/>
      <c r="G72" s="461"/>
      <c r="H72" s="461"/>
      <c r="I72" s="461"/>
      <c r="J72" s="461"/>
      <c r="K72" s="460"/>
      <c r="L72" s="418"/>
    </row>
    <row r="73" spans="1:12" ht="14.25">
      <c r="A73" s="468"/>
      <c r="B73" s="411"/>
      <c r="C73" s="458" t="s">
        <v>685</v>
      </c>
      <c r="D73" s="458"/>
      <c r="E73" s="458"/>
      <c r="F73" s="458"/>
      <c r="G73" s="458"/>
      <c r="H73" s="458"/>
      <c r="I73" s="458"/>
      <c r="J73" s="458"/>
      <c r="K73" s="457"/>
      <c r="L73" s="418"/>
    </row>
    <row r="74" spans="1:12" ht="14.25">
      <c r="A74" s="468"/>
      <c r="B74" s="411" t="s">
        <v>706</v>
      </c>
      <c r="C74" s="1045">
        <v>312000000</v>
      </c>
      <c r="D74" s="1045"/>
      <c r="E74" s="571" t="s">
        <v>684</v>
      </c>
      <c r="F74" s="571">
        <v>1000</v>
      </c>
      <c r="G74" s="571" t="s">
        <v>683</v>
      </c>
      <c r="H74" s="797">
        <f>C74/F74</f>
        <v>312000</v>
      </c>
      <c r="I74" s="458" t="s">
        <v>707</v>
      </c>
      <c r="J74" s="458"/>
      <c r="K74" s="457"/>
      <c r="L74" s="418"/>
    </row>
    <row r="75" spans="1:12" ht="14.25">
      <c r="A75" s="468"/>
      <c r="B75" s="411"/>
      <c r="C75" s="458"/>
      <c r="D75" s="458"/>
      <c r="E75" s="571"/>
      <c r="F75" s="458"/>
      <c r="G75" s="458"/>
      <c r="H75" s="458"/>
      <c r="I75" s="458"/>
      <c r="J75" s="458"/>
      <c r="K75" s="457"/>
      <c r="L75" s="418"/>
    </row>
    <row r="76" spans="1:12" ht="14.25">
      <c r="A76" s="468"/>
      <c r="B76" s="411"/>
      <c r="C76" s="458" t="s">
        <v>708</v>
      </c>
      <c r="D76" s="458"/>
      <c r="E76" s="571"/>
      <c r="F76" s="458" t="s">
        <v>707</v>
      </c>
      <c r="G76" s="458"/>
      <c r="H76" s="458"/>
      <c r="I76" s="458"/>
      <c r="J76" s="458"/>
      <c r="K76" s="457"/>
      <c r="L76" s="418"/>
    </row>
    <row r="77" spans="1:12" ht="14.25">
      <c r="A77" s="468"/>
      <c r="B77" s="411" t="s">
        <v>711</v>
      </c>
      <c r="C77" s="1045">
        <v>50000</v>
      </c>
      <c r="D77" s="1045"/>
      <c r="E77" s="571" t="s">
        <v>684</v>
      </c>
      <c r="F77" s="797">
        <f>H74</f>
        <v>312000</v>
      </c>
      <c r="G77" s="571" t="s">
        <v>683</v>
      </c>
      <c r="H77" s="413">
        <f>C77/F77</f>
        <v>0.16025641025641027</v>
      </c>
      <c r="I77" s="458" t="s">
        <v>709</v>
      </c>
      <c r="J77" s="458"/>
      <c r="K77" s="457"/>
      <c r="L77" s="418"/>
    </row>
    <row r="78" spans="1:12" ht="14.25">
      <c r="A78" s="468"/>
      <c r="B78" s="411"/>
      <c r="C78" s="458"/>
      <c r="D78" s="458"/>
      <c r="E78" s="571"/>
      <c r="F78" s="458"/>
      <c r="G78" s="458"/>
      <c r="H78" s="458"/>
      <c r="I78" s="458"/>
      <c r="J78" s="458"/>
      <c r="K78" s="457"/>
      <c r="L78" s="418"/>
    </row>
    <row r="79" spans="1:12" ht="14.25">
      <c r="A79" s="468"/>
      <c r="B79" s="419"/>
      <c r="C79" s="420" t="s">
        <v>710</v>
      </c>
      <c r="D79" s="420"/>
      <c r="E79" s="565"/>
      <c r="F79" s="420"/>
      <c r="G79" s="420"/>
      <c r="H79" s="420"/>
      <c r="I79" s="420"/>
      <c r="J79" s="420"/>
      <c r="K79" s="421"/>
      <c r="L79" s="418"/>
    </row>
    <row r="80" spans="1:12" ht="14.25">
      <c r="A80" s="468"/>
      <c r="B80" s="411" t="s">
        <v>770</v>
      </c>
      <c r="C80" s="1045">
        <v>100000</v>
      </c>
      <c r="D80" s="1045"/>
      <c r="E80" s="571" t="s">
        <v>254</v>
      </c>
      <c r="F80" s="571">
        <v>0.115</v>
      </c>
      <c r="G80" s="571" t="s">
        <v>683</v>
      </c>
      <c r="H80" s="564">
        <f>C80*F80</f>
        <v>11500</v>
      </c>
      <c r="I80" s="458" t="s">
        <v>712</v>
      </c>
      <c r="J80" s="458"/>
      <c r="K80" s="457"/>
      <c r="L80" s="418"/>
    </row>
    <row r="81" spans="1:12" ht="14.25">
      <c r="A81" s="468"/>
      <c r="B81" s="411"/>
      <c r="C81" s="458"/>
      <c r="D81" s="458"/>
      <c r="E81" s="571"/>
      <c r="F81" s="458"/>
      <c r="G81" s="458"/>
      <c r="H81" s="458"/>
      <c r="I81" s="458"/>
      <c r="J81" s="458"/>
      <c r="K81" s="457"/>
      <c r="L81" s="418"/>
    </row>
    <row r="82" spans="1:12" ht="14.25">
      <c r="A82" s="468"/>
      <c r="B82" s="419"/>
      <c r="C82" s="420" t="s">
        <v>713</v>
      </c>
      <c r="D82" s="420"/>
      <c r="E82" s="565"/>
      <c r="F82" s="420" t="s">
        <v>709</v>
      </c>
      <c r="G82" s="420"/>
      <c r="H82" s="420"/>
      <c r="I82" s="420"/>
      <c r="J82" s="420" t="s">
        <v>714</v>
      </c>
      <c r="K82" s="421"/>
      <c r="L82" s="418"/>
    </row>
    <row r="83" spans="1:12" ht="14.25">
      <c r="A83" s="468"/>
      <c r="B83" s="411" t="s">
        <v>771</v>
      </c>
      <c r="C83" s="1051">
        <f>H80</f>
        <v>11500</v>
      </c>
      <c r="D83" s="1051"/>
      <c r="E83" s="571" t="s">
        <v>254</v>
      </c>
      <c r="F83" s="413">
        <f>H77</f>
        <v>0.16025641025641027</v>
      </c>
      <c r="G83" s="571" t="s">
        <v>684</v>
      </c>
      <c r="H83" s="571">
        <v>1000</v>
      </c>
      <c r="I83" s="571" t="s">
        <v>683</v>
      </c>
      <c r="J83" s="566">
        <f>C83*F83/H83</f>
        <v>1.842948717948718</v>
      </c>
      <c r="K83" s="457"/>
      <c r="L83" s="418"/>
    </row>
    <row r="84" spans="1:12" ht="15" thickBot="1">
      <c r="A84" s="468"/>
      <c r="B84" s="409"/>
      <c r="C84" s="422"/>
      <c r="D84" s="422"/>
      <c r="E84" s="423"/>
      <c r="F84" s="424"/>
      <c r="G84" s="423"/>
      <c r="H84" s="423"/>
      <c r="I84" s="423"/>
      <c r="J84" s="425"/>
      <c r="K84" s="453"/>
      <c r="L84" s="418"/>
    </row>
    <row r="85" spans="1:12" ht="40.5" customHeight="1">
      <c r="A85" s="468"/>
      <c r="B85" s="1049" t="s">
        <v>675</v>
      </c>
      <c r="C85" s="1049"/>
      <c r="D85" s="1049"/>
      <c r="E85" s="1049"/>
      <c r="F85" s="1049"/>
      <c r="G85" s="1049"/>
      <c r="H85" s="1049"/>
      <c r="I85" s="1049"/>
      <c r="J85" s="1049"/>
      <c r="K85" s="1049"/>
      <c r="L85" s="468"/>
    </row>
    <row r="86" spans="1:12" ht="14.25">
      <c r="A86" s="468"/>
      <c r="B86" s="1038" t="s">
        <v>715</v>
      </c>
      <c r="C86" s="1038"/>
      <c r="D86" s="1038"/>
      <c r="E86" s="1038"/>
      <c r="F86" s="1038"/>
      <c r="G86" s="1038"/>
      <c r="H86" s="1038"/>
      <c r="I86" s="1038"/>
      <c r="J86" s="1038"/>
      <c r="K86" s="1038"/>
      <c r="L86" s="468"/>
    </row>
    <row r="87" spans="1:12" ht="14.25">
      <c r="A87" s="468"/>
      <c r="B87" s="426"/>
      <c r="C87" s="426"/>
      <c r="D87" s="426"/>
      <c r="E87" s="426"/>
      <c r="F87" s="426"/>
      <c r="G87" s="426"/>
      <c r="H87" s="426"/>
      <c r="I87" s="426"/>
      <c r="J87" s="426"/>
      <c r="K87" s="426"/>
      <c r="L87" s="468"/>
    </row>
    <row r="88" spans="1:12" ht="14.25">
      <c r="A88" s="468"/>
      <c r="B88" s="1038" t="s">
        <v>716</v>
      </c>
      <c r="C88" s="1038"/>
      <c r="D88" s="1038"/>
      <c r="E88" s="1038"/>
      <c r="F88" s="1038"/>
      <c r="G88" s="1038"/>
      <c r="H88" s="1038"/>
      <c r="I88" s="1038"/>
      <c r="J88" s="1038"/>
      <c r="K88" s="1038"/>
      <c r="L88" s="468"/>
    </row>
    <row r="89" spans="1:12" ht="14.25">
      <c r="A89" s="468"/>
      <c r="B89" s="568"/>
      <c r="C89" s="568"/>
      <c r="D89" s="568"/>
      <c r="E89" s="568"/>
      <c r="F89" s="568"/>
      <c r="G89" s="568"/>
      <c r="H89" s="568"/>
      <c r="I89" s="568"/>
      <c r="J89" s="568"/>
      <c r="K89" s="568"/>
      <c r="L89" s="468"/>
    </row>
    <row r="90" spans="1:12" ht="45" customHeight="1">
      <c r="A90" s="468"/>
      <c r="B90" s="1043" t="s">
        <v>717</v>
      </c>
      <c r="C90" s="1043"/>
      <c r="D90" s="1043"/>
      <c r="E90" s="1043"/>
      <c r="F90" s="1043"/>
      <c r="G90" s="1043"/>
      <c r="H90" s="1043"/>
      <c r="I90" s="1043"/>
      <c r="J90" s="1043"/>
      <c r="K90" s="1043"/>
      <c r="L90" s="468"/>
    </row>
    <row r="91" spans="1:12" ht="15" customHeight="1" thickBot="1">
      <c r="A91" s="468"/>
      <c r="L91" s="468"/>
    </row>
    <row r="92" spans="1:12" ht="15" customHeight="1">
      <c r="A92" s="468"/>
      <c r="B92" s="427" t="s">
        <v>679</v>
      </c>
      <c r="C92" s="428"/>
      <c r="D92" s="428"/>
      <c r="E92" s="428"/>
      <c r="F92" s="428"/>
      <c r="G92" s="428"/>
      <c r="H92" s="428"/>
      <c r="I92" s="428"/>
      <c r="J92" s="428"/>
      <c r="K92" s="429"/>
      <c r="L92" s="468"/>
    </row>
    <row r="93" spans="1:12" ht="15" customHeight="1">
      <c r="A93" s="468"/>
      <c r="B93" s="430"/>
      <c r="C93" s="570" t="s">
        <v>685</v>
      </c>
      <c r="D93" s="570"/>
      <c r="E93" s="570"/>
      <c r="F93" s="570"/>
      <c r="G93" s="570"/>
      <c r="H93" s="570"/>
      <c r="I93" s="570"/>
      <c r="J93" s="570"/>
      <c r="K93" s="431"/>
      <c r="L93" s="468"/>
    </row>
    <row r="94" spans="1:12" ht="15" customHeight="1">
      <c r="A94" s="468"/>
      <c r="B94" s="430" t="s">
        <v>706</v>
      </c>
      <c r="C94" s="1045">
        <v>312000000</v>
      </c>
      <c r="D94" s="1045"/>
      <c r="E94" s="571" t="s">
        <v>684</v>
      </c>
      <c r="F94" s="571">
        <v>1000</v>
      </c>
      <c r="G94" s="571" t="s">
        <v>683</v>
      </c>
      <c r="H94" s="797">
        <f>C94/F94</f>
        <v>312000</v>
      </c>
      <c r="I94" s="570" t="s">
        <v>707</v>
      </c>
      <c r="J94" s="570"/>
      <c r="K94" s="431"/>
      <c r="L94" s="468"/>
    </row>
    <row r="95" spans="1:12" ht="15" customHeight="1">
      <c r="A95" s="468"/>
      <c r="B95" s="430"/>
      <c r="C95" s="570"/>
      <c r="D95" s="570"/>
      <c r="E95" s="571"/>
      <c r="F95" s="570"/>
      <c r="G95" s="570"/>
      <c r="H95" s="570"/>
      <c r="I95" s="570"/>
      <c r="J95" s="570"/>
      <c r="K95" s="431"/>
      <c r="L95" s="468"/>
    </row>
    <row r="96" spans="1:12" ht="15" customHeight="1">
      <c r="A96" s="468"/>
      <c r="B96" s="430"/>
      <c r="C96" s="570" t="s">
        <v>708</v>
      </c>
      <c r="D96" s="570"/>
      <c r="E96" s="571"/>
      <c r="F96" s="570" t="s">
        <v>707</v>
      </c>
      <c r="G96" s="570"/>
      <c r="H96" s="570"/>
      <c r="I96" s="570"/>
      <c r="J96" s="570"/>
      <c r="K96" s="431"/>
      <c r="L96" s="468"/>
    </row>
    <row r="97" spans="1:12" ht="15" customHeight="1">
      <c r="A97" s="468"/>
      <c r="B97" s="430" t="s">
        <v>711</v>
      </c>
      <c r="C97" s="1045">
        <v>50000</v>
      </c>
      <c r="D97" s="1045"/>
      <c r="E97" s="571" t="s">
        <v>684</v>
      </c>
      <c r="F97" s="797">
        <f>H94</f>
        <v>312000</v>
      </c>
      <c r="G97" s="571" t="s">
        <v>683</v>
      </c>
      <c r="H97" s="413">
        <f>C97/F97</f>
        <v>0.16025641025641027</v>
      </c>
      <c r="I97" s="570" t="s">
        <v>709</v>
      </c>
      <c r="J97" s="570"/>
      <c r="K97" s="431"/>
      <c r="L97" s="468"/>
    </row>
    <row r="98" spans="1:12" ht="15" customHeight="1">
      <c r="A98" s="468"/>
      <c r="B98" s="430"/>
      <c r="C98" s="570"/>
      <c r="D98" s="570"/>
      <c r="E98" s="571"/>
      <c r="F98" s="570"/>
      <c r="G98" s="570"/>
      <c r="H98" s="570"/>
      <c r="I98" s="570"/>
      <c r="J98" s="570"/>
      <c r="K98" s="431"/>
      <c r="L98" s="468"/>
    </row>
    <row r="99" spans="1:12" ht="15" customHeight="1">
      <c r="A99" s="468"/>
      <c r="B99" s="432"/>
      <c r="C99" s="433" t="s">
        <v>718</v>
      </c>
      <c r="D99" s="433"/>
      <c r="E99" s="565"/>
      <c r="F99" s="433"/>
      <c r="G99" s="433"/>
      <c r="H99" s="433"/>
      <c r="I99" s="433"/>
      <c r="J99" s="433"/>
      <c r="K99" s="434"/>
      <c r="L99" s="468"/>
    </row>
    <row r="100" spans="1:12" ht="15" customHeight="1">
      <c r="A100" s="468"/>
      <c r="B100" s="430" t="s">
        <v>770</v>
      </c>
      <c r="C100" s="1045">
        <v>2500000</v>
      </c>
      <c r="D100" s="1045"/>
      <c r="E100" s="571" t="s">
        <v>254</v>
      </c>
      <c r="F100" s="435">
        <v>0.3</v>
      </c>
      <c r="G100" s="571" t="s">
        <v>683</v>
      </c>
      <c r="H100" s="564">
        <f>C100*F100</f>
        <v>750000</v>
      </c>
      <c r="I100" s="570" t="s">
        <v>712</v>
      </c>
      <c r="J100" s="570"/>
      <c r="K100" s="431"/>
      <c r="L100" s="468"/>
    </row>
    <row r="101" spans="1:12" ht="15" customHeight="1">
      <c r="A101" s="468"/>
      <c r="B101" s="430"/>
      <c r="C101" s="570"/>
      <c r="D101" s="570"/>
      <c r="E101" s="571"/>
      <c r="F101" s="570"/>
      <c r="G101" s="570"/>
      <c r="H101" s="570"/>
      <c r="I101" s="570"/>
      <c r="J101" s="570"/>
      <c r="K101" s="431"/>
      <c r="L101" s="468"/>
    </row>
    <row r="102" spans="1:12" ht="15" customHeight="1">
      <c r="A102" s="468"/>
      <c r="B102" s="432"/>
      <c r="C102" s="433" t="s">
        <v>713</v>
      </c>
      <c r="D102" s="433"/>
      <c r="E102" s="565"/>
      <c r="F102" s="433" t="s">
        <v>709</v>
      </c>
      <c r="G102" s="433"/>
      <c r="H102" s="433"/>
      <c r="I102" s="433"/>
      <c r="J102" s="433" t="s">
        <v>714</v>
      </c>
      <c r="K102" s="434"/>
      <c r="L102" s="468"/>
    </row>
    <row r="103" spans="1:12" ht="15" customHeight="1">
      <c r="A103" s="468"/>
      <c r="B103" s="430" t="s">
        <v>771</v>
      </c>
      <c r="C103" s="1051">
        <f>H100</f>
        <v>750000</v>
      </c>
      <c r="D103" s="1051"/>
      <c r="E103" s="571" t="s">
        <v>254</v>
      </c>
      <c r="F103" s="413">
        <f>H97</f>
        <v>0.16025641025641027</v>
      </c>
      <c r="G103" s="571" t="s">
        <v>684</v>
      </c>
      <c r="H103" s="571">
        <v>1000</v>
      </c>
      <c r="I103" s="571" t="s">
        <v>683</v>
      </c>
      <c r="J103" s="566">
        <f>C103*F103/H103</f>
        <v>120.19230769230771</v>
      </c>
      <c r="K103" s="431"/>
      <c r="L103" s="468"/>
    </row>
    <row r="104" spans="1:12" ht="15" customHeight="1" thickBot="1">
      <c r="A104" s="468"/>
      <c r="B104" s="436"/>
      <c r="C104" s="422"/>
      <c r="D104" s="422"/>
      <c r="E104" s="423"/>
      <c r="F104" s="424"/>
      <c r="G104" s="423"/>
      <c r="H104" s="423"/>
      <c r="I104" s="423"/>
      <c r="J104" s="425"/>
      <c r="K104" s="572"/>
      <c r="L104" s="468"/>
    </row>
    <row r="105" spans="1:12" ht="40.5" customHeight="1">
      <c r="A105" s="468"/>
      <c r="B105" s="1049" t="s">
        <v>675</v>
      </c>
      <c r="C105" s="1056"/>
      <c r="D105" s="1056"/>
      <c r="E105" s="1056"/>
      <c r="F105" s="1056"/>
      <c r="G105" s="1056"/>
      <c r="H105" s="1056"/>
      <c r="I105" s="1056"/>
      <c r="J105" s="1056"/>
      <c r="K105" s="1056"/>
      <c r="L105" s="468"/>
    </row>
    <row r="106" spans="1:12" ht="15" customHeight="1">
      <c r="A106" s="468"/>
      <c r="B106" s="1057" t="s">
        <v>719</v>
      </c>
      <c r="C106" s="1039"/>
      <c r="D106" s="1039"/>
      <c r="E106" s="1039"/>
      <c r="F106" s="1039"/>
      <c r="G106" s="1039"/>
      <c r="H106" s="1039"/>
      <c r="I106" s="1039"/>
      <c r="J106" s="1039"/>
      <c r="K106" s="1039"/>
      <c r="L106" s="468"/>
    </row>
    <row r="107" spans="1:12" ht="15" customHeight="1">
      <c r="A107" s="468"/>
      <c r="B107" s="570"/>
      <c r="C107" s="437"/>
      <c r="D107" s="437"/>
      <c r="E107" s="571"/>
      <c r="F107" s="413"/>
      <c r="G107" s="571"/>
      <c r="H107" s="571"/>
      <c r="I107" s="571"/>
      <c r="J107" s="566"/>
      <c r="K107" s="570"/>
      <c r="L107" s="468"/>
    </row>
    <row r="108" spans="1:12" ht="15" customHeight="1">
      <c r="A108" s="468"/>
      <c r="B108" s="1057" t="s">
        <v>720</v>
      </c>
      <c r="C108" s="1058"/>
      <c r="D108" s="1058"/>
      <c r="E108" s="1058"/>
      <c r="F108" s="1058"/>
      <c r="G108" s="1058"/>
      <c r="H108" s="1058"/>
      <c r="I108" s="1058"/>
      <c r="J108" s="1058"/>
      <c r="K108" s="1058"/>
      <c r="L108" s="468"/>
    </row>
    <row r="109" spans="1:12" ht="15" customHeight="1">
      <c r="A109" s="468"/>
      <c r="B109" s="570"/>
      <c r="C109" s="437"/>
      <c r="D109" s="437"/>
      <c r="E109" s="571"/>
      <c r="F109" s="413"/>
      <c r="G109" s="571"/>
      <c r="H109" s="571"/>
      <c r="I109" s="571"/>
      <c r="J109" s="566"/>
      <c r="K109" s="570"/>
      <c r="L109" s="468"/>
    </row>
    <row r="110" spans="1:12" ht="59.25" customHeight="1">
      <c r="A110" s="468"/>
      <c r="B110" s="1059" t="s">
        <v>721</v>
      </c>
      <c r="C110" s="1046"/>
      <c r="D110" s="1046"/>
      <c r="E110" s="1046"/>
      <c r="F110" s="1046"/>
      <c r="G110" s="1046"/>
      <c r="H110" s="1046"/>
      <c r="I110" s="1046"/>
      <c r="J110" s="1046"/>
      <c r="K110" s="1046"/>
      <c r="L110" s="468"/>
    </row>
    <row r="111" spans="1:12" ht="15" thickBot="1">
      <c r="A111" s="468"/>
      <c r="B111" s="569"/>
      <c r="C111" s="569"/>
      <c r="D111" s="569"/>
      <c r="E111" s="569"/>
      <c r="F111" s="569"/>
      <c r="G111" s="569"/>
      <c r="H111" s="569"/>
      <c r="I111" s="569"/>
      <c r="J111" s="569"/>
      <c r="K111" s="569"/>
      <c r="L111" s="438"/>
    </row>
    <row r="112" spans="1:12" ht="14.25">
      <c r="A112" s="468"/>
      <c r="B112" s="462" t="s">
        <v>679</v>
      </c>
      <c r="C112" s="461"/>
      <c r="D112" s="461"/>
      <c r="E112" s="461"/>
      <c r="F112" s="461"/>
      <c r="G112" s="461"/>
      <c r="H112" s="461"/>
      <c r="I112" s="461"/>
      <c r="J112" s="461"/>
      <c r="K112" s="460"/>
      <c r="L112" s="468"/>
    </row>
    <row r="113" spans="1:12" ht="14.25">
      <c r="A113" s="468"/>
      <c r="B113" s="411"/>
      <c r="C113" s="458" t="s">
        <v>685</v>
      </c>
      <c r="D113" s="458"/>
      <c r="E113" s="458"/>
      <c r="F113" s="458"/>
      <c r="G113" s="458"/>
      <c r="H113" s="458"/>
      <c r="I113" s="458"/>
      <c r="J113" s="458"/>
      <c r="K113" s="457"/>
      <c r="L113" s="468"/>
    </row>
    <row r="114" spans="1:12" ht="14.25">
      <c r="A114" s="468"/>
      <c r="B114" s="411" t="s">
        <v>706</v>
      </c>
      <c r="C114" s="1045">
        <v>312000000</v>
      </c>
      <c r="D114" s="1045"/>
      <c r="E114" s="571" t="s">
        <v>684</v>
      </c>
      <c r="F114" s="571">
        <v>1000</v>
      </c>
      <c r="G114" s="571" t="s">
        <v>683</v>
      </c>
      <c r="H114" s="797">
        <f>C114/F114</f>
        <v>312000</v>
      </c>
      <c r="I114" s="458" t="s">
        <v>707</v>
      </c>
      <c r="J114" s="458"/>
      <c r="K114" s="457"/>
      <c r="L114" s="468"/>
    </row>
    <row r="115" spans="1:12" ht="14.25">
      <c r="A115" s="468"/>
      <c r="B115" s="411"/>
      <c r="C115" s="458"/>
      <c r="D115" s="458"/>
      <c r="E115" s="571"/>
      <c r="F115" s="458"/>
      <c r="G115" s="458"/>
      <c r="H115" s="458"/>
      <c r="I115" s="458"/>
      <c r="J115" s="458"/>
      <c r="K115" s="457"/>
      <c r="L115" s="468"/>
    </row>
    <row r="116" spans="1:12" ht="14.25">
      <c r="A116" s="468"/>
      <c r="B116" s="411"/>
      <c r="C116" s="458" t="s">
        <v>708</v>
      </c>
      <c r="D116" s="458"/>
      <c r="E116" s="571"/>
      <c r="F116" s="458" t="s">
        <v>707</v>
      </c>
      <c r="G116" s="458"/>
      <c r="H116" s="458"/>
      <c r="I116" s="458"/>
      <c r="J116" s="458"/>
      <c r="K116" s="457"/>
      <c r="L116" s="468"/>
    </row>
    <row r="117" spans="1:12" ht="14.25">
      <c r="A117" s="468"/>
      <c r="B117" s="411" t="s">
        <v>711</v>
      </c>
      <c r="C117" s="1045">
        <v>50000</v>
      </c>
      <c r="D117" s="1045"/>
      <c r="E117" s="571" t="s">
        <v>684</v>
      </c>
      <c r="F117" s="797">
        <f>H114</f>
        <v>312000</v>
      </c>
      <c r="G117" s="571" t="s">
        <v>683</v>
      </c>
      <c r="H117" s="413">
        <f>C117/F117</f>
        <v>0.16025641025641027</v>
      </c>
      <c r="I117" s="458" t="s">
        <v>709</v>
      </c>
      <c r="J117" s="458"/>
      <c r="K117" s="457"/>
      <c r="L117" s="468"/>
    </row>
    <row r="118" spans="1:12" ht="14.25">
      <c r="A118" s="468"/>
      <c r="B118" s="411"/>
      <c r="C118" s="458"/>
      <c r="D118" s="458"/>
      <c r="E118" s="571"/>
      <c r="F118" s="458"/>
      <c r="G118" s="458"/>
      <c r="H118" s="458"/>
      <c r="I118" s="458"/>
      <c r="J118" s="458"/>
      <c r="K118" s="457"/>
      <c r="L118" s="468"/>
    </row>
    <row r="119" spans="1:12" ht="14.25">
      <c r="A119" s="468"/>
      <c r="B119" s="419"/>
      <c r="C119" s="420" t="s">
        <v>718</v>
      </c>
      <c r="D119" s="420"/>
      <c r="E119" s="565"/>
      <c r="F119" s="420"/>
      <c r="G119" s="420"/>
      <c r="H119" s="420"/>
      <c r="I119" s="420"/>
      <c r="J119" s="420"/>
      <c r="K119" s="421"/>
      <c r="L119" s="468"/>
    </row>
    <row r="120" spans="1:12" ht="14.25">
      <c r="A120" s="468"/>
      <c r="B120" s="411" t="s">
        <v>770</v>
      </c>
      <c r="C120" s="1045">
        <v>2500000</v>
      </c>
      <c r="D120" s="1045"/>
      <c r="E120" s="571" t="s">
        <v>254</v>
      </c>
      <c r="F120" s="435">
        <v>0.25</v>
      </c>
      <c r="G120" s="571" t="s">
        <v>683</v>
      </c>
      <c r="H120" s="564">
        <f>C120*F120</f>
        <v>625000</v>
      </c>
      <c r="I120" s="458" t="s">
        <v>712</v>
      </c>
      <c r="J120" s="458"/>
      <c r="K120" s="457"/>
      <c r="L120" s="468"/>
    </row>
    <row r="121" spans="1:12" ht="14.25">
      <c r="A121" s="468"/>
      <c r="B121" s="411"/>
      <c r="C121" s="458"/>
      <c r="D121" s="458"/>
      <c r="E121" s="571"/>
      <c r="F121" s="458"/>
      <c r="G121" s="458"/>
      <c r="H121" s="458"/>
      <c r="I121" s="458"/>
      <c r="J121" s="458"/>
      <c r="K121" s="457"/>
      <c r="L121" s="468"/>
    </row>
    <row r="122" spans="1:12" ht="14.25">
      <c r="A122" s="468"/>
      <c r="B122" s="419"/>
      <c r="C122" s="420" t="s">
        <v>713</v>
      </c>
      <c r="D122" s="420"/>
      <c r="E122" s="565"/>
      <c r="F122" s="420" t="s">
        <v>709</v>
      </c>
      <c r="G122" s="420"/>
      <c r="H122" s="420"/>
      <c r="I122" s="420"/>
      <c r="J122" s="420" t="s">
        <v>714</v>
      </c>
      <c r="K122" s="421"/>
      <c r="L122" s="468"/>
    </row>
    <row r="123" spans="1:12" ht="14.25">
      <c r="A123" s="468"/>
      <c r="B123" s="411" t="s">
        <v>771</v>
      </c>
      <c r="C123" s="1051">
        <f>H120</f>
        <v>625000</v>
      </c>
      <c r="D123" s="1051"/>
      <c r="E123" s="571" t="s">
        <v>254</v>
      </c>
      <c r="F123" s="413">
        <f>H117</f>
        <v>0.16025641025641027</v>
      </c>
      <c r="G123" s="571" t="s">
        <v>684</v>
      </c>
      <c r="H123" s="571">
        <v>1000</v>
      </c>
      <c r="I123" s="571" t="s">
        <v>683</v>
      </c>
      <c r="J123" s="566">
        <f>C123*F123/H123</f>
        <v>100.16025641025642</v>
      </c>
      <c r="K123" s="457"/>
      <c r="L123" s="468"/>
    </row>
    <row r="124" spans="1:12" ht="15" thickBot="1">
      <c r="A124" s="468"/>
      <c r="B124" s="409"/>
      <c r="C124" s="422"/>
      <c r="D124" s="422"/>
      <c r="E124" s="423"/>
      <c r="F124" s="424"/>
      <c r="G124" s="423"/>
      <c r="H124" s="423"/>
      <c r="I124" s="423"/>
      <c r="J124" s="425"/>
      <c r="K124" s="453"/>
      <c r="L124" s="468"/>
    </row>
    <row r="125" spans="1:12" ht="40.5" customHeight="1">
      <c r="A125" s="468"/>
      <c r="B125" s="1049" t="s">
        <v>675</v>
      </c>
      <c r="C125" s="1049"/>
      <c r="D125" s="1049"/>
      <c r="E125" s="1049"/>
      <c r="F125" s="1049"/>
      <c r="G125" s="1049"/>
      <c r="H125" s="1049"/>
      <c r="I125" s="1049"/>
      <c r="J125" s="1049"/>
      <c r="K125" s="1049"/>
      <c r="L125" s="438"/>
    </row>
    <row r="126" spans="1:12" ht="14.25">
      <c r="A126" s="468"/>
      <c r="B126" s="1038" t="s">
        <v>722</v>
      </c>
      <c r="C126" s="1038"/>
      <c r="D126" s="1038"/>
      <c r="E126" s="1038"/>
      <c r="F126" s="1038"/>
      <c r="G126" s="1038"/>
      <c r="H126" s="1038"/>
      <c r="I126" s="1038"/>
      <c r="J126" s="1038"/>
      <c r="K126" s="1038"/>
      <c r="L126" s="438"/>
    </row>
    <row r="127" spans="1:12" ht="14.25">
      <c r="A127" s="468"/>
      <c r="B127" s="569"/>
      <c r="C127" s="569"/>
      <c r="D127" s="569"/>
      <c r="E127" s="569"/>
      <c r="F127" s="569"/>
      <c r="G127" s="569"/>
      <c r="H127" s="569"/>
      <c r="I127" s="569"/>
      <c r="J127" s="569"/>
      <c r="K127" s="569"/>
      <c r="L127" s="438"/>
    </row>
    <row r="128" spans="1:12" ht="14.25">
      <c r="A128" s="468"/>
      <c r="B128" s="1038" t="s">
        <v>723</v>
      </c>
      <c r="C128" s="1038"/>
      <c r="D128" s="1038"/>
      <c r="E128" s="1038"/>
      <c r="F128" s="1038"/>
      <c r="G128" s="1038"/>
      <c r="H128" s="1038"/>
      <c r="I128" s="1038"/>
      <c r="J128" s="1038"/>
      <c r="K128" s="1038"/>
      <c r="L128" s="438"/>
    </row>
    <row r="129" spans="1:12" ht="14.25">
      <c r="A129" s="468"/>
      <c r="B129" s="568"/>
      <c r="C129" s="568"/>
      <c r="D129" s="568"/>
      <c r="E129" s="568"/>
      <c r="F129" s="568"/>
      <c r="G129" s="568"/>
      <c r="H129" s="568"/>
      <c r="I129" s="568"/>
      <c r="J129" s="568"/>
      <c r="K129" s="568"/>
      <c r="L129" s="438"/>
    </row>
    <row r="130" spans="1:12" ht="74.25" customHeight="1">
      <c r="A130" s="468"/>
      <c r="B130" s="1043" t="s">
        <v>772</v>
      </c>
      <c r="C130" s="1043"/>
      <c r="D130" s="1043"/>
      <c r="E130" s="1043"/>
      <c r="F130" s="1043"/>
      <c r="G130" s="1043"/>
      <c r="H130" s="1043"/>
      <c r="I130" s="1043"/>
      <c r="J130" s="1043"/>
      <c r="K130" s="1043"/>
      <c r="L130" s="438"/>
    </row>
    <row r="131" spans="1:12" ht="15" thickBot="1">
      <c r="A131" s="468"/>
      <c r="L131" s="468"/>
    </row>
    <row r="132" spans="1:12" ht="14.25">
      <c r="A132" s="468"/>
      <c r="B132" s="462" t="s">
        <v>679</v>
      </c>
      <c r="C132" s="461"/>
      <c r="D132" s="461"/>
      <c r="E132" s="461"/>
      <c r="F132" s="461"/>
      <c r="G132" s="461"/>
      <c r="H132" s="461"/>
      <c r="I132" s="461"/>
      <c r="J132" s="461"/>
      <c r="K132" s="460"/>
      <c r="L132" s="468"/>
    </row>
    <row r="133" spans="1:12" ht="14.25">
      <c r="A133" s="468"/>
      <c r="B133" s="411"/>
      <c r="C133" s="1050" t="s">
        <v>724</v>
      </c>
      <c r="D133" s="1050"/>
      <c r="E133" s="458"/>
      <c r="F133" s="571" t="s">
        <v>725</v>
      </c>
      <c r="G133" s="458"/>
      <c r="H133" s="1050" t="s">
        <v>712</v>
      </c>
      <c r="I133" s="1050"/>
      <c r="J133" s="458"/>
      <c r="K133" s="457"/>
      <c r="L133" s="468"/>
    </row>
    <row r="134" spans="1:12" ht="14.25">
      <c r="A134" s="468"/>
      <c r="B134" s="411" t="s">
        <v>706</v>
      </c>
      <c r="C134" s="1045">
        <v>100000</v>
      </c>
      <c r="D134" s="1045"/>
      <c r="E134" s="571" t="s">
        <v>254</v>
      </c>
      <c r="F134" s="571">
        <v>0.115</v>
      </c>
      <c r="G134" s="571" t="s">
        <v>683</v>
      </c>
      <c r="H134" s="1063">
        <f>C134*F134</f>
        <v>11500</v>
      </c>
      <c r="I134" s="1063"/>
      <c r="J134" s="458"/>
      <c r="K134" s="457"/>
      <c r="L134" s="468"/>
    </row>
    <row r="135" spans="1:12" ht="14.25">
      <c r="A135" s="468"/>
      <c r="B135" s="411"/>
      <c r="C135" s="458"/>
      <c r="D135" s="458"/>
      <c r="E135" s="458"/>
      <c r="F135" s="458"/>
      <c r="G135" s="458"/>
      <c r="H135" s="458"/>
      <c r="I135" s="458"/>
      <c r="J135" s="458"/>
      <c r="K135" s="457"/>
      <c r="L135" s="468"/>
    </row>
    <row r="136" spans="1:12" ht="14.25">
      <c r="A136" s="468"/>
      <c r="B136" s="419"/>
      <c r="C136" s="1064" t="s">
        <v>712</v>
      </c>
      <c r="D136" s="1064"/>
      <c r="E136" s="420"/>
      <c r="F136" s="565" t="s">
        <v>726</v>
      </c>
      <c r="G136" s="565"/>
      <c r="H136" s="420"/>
      <c r="I136" s="420"/>
      <c r="J136" s="420" t="s">
        <v>727</v>
      </c>
      <c r="K136" s="421"/>
      <c r="L136" s="468"/>
    </row>
    <row r="137" spans="1:12" ht="14.25">
      <c r="A137" s="468"/>
      <c r="B137" s="411" t="s">
        <v>711</v>
      </c>
      <c r="C137" s="1063">
        <f>H134</f>
        <v>11500</v>
      </c>
      <c r="D137" s="1063"/>
      <c r="E137" s="571" t="s">
        <v>254</v>
      </c>
      <c r="F137" s="439">
        <v>52.869</v>
      </c>
      <c r="G137" s="571" t="s">
        <v>684</v>
      </c>
      <c r="H137" s="571">
        <v>1000</v>
      </c>
      <c r="I137" s="571" t="s">
        <v>683</v>
      </c>
      <c r="J137" s="440">
        <f>C137*F137/H137</f>
        <v>607.9935</v>
      </c>
      <c r="K137" s="457"/>
      <c r="L137" s="468"/>
    </row>
    <row r="138" spans="1:12" ht="15" thickBot="1">
      <c r="A138" s="468"/>
      <c r="B138" s="409"/>
      <c r="C138" s="551"/>
      <c r="D138" s="551"/>
      <c r="E138" s="423"/>
      <c r="F138" s="552"/>
      <c r="G138" s="423"/>
      <c r="H138" s="423"/>
      <c r="I138" s="423"/>
      <c r="J138" s="553"/>
      <c r="K138" s="453"/>
      <c r="L138" s="468"/>
    </row>
    <row r="139" spans="1:12" ht="40.5" customHeight="1">
      <c r="A139" s="468"/>
      <c r="B139" s="538" t="s">
        <v>675</v>
      </c>
      <c r="C139" s="539"/>
      <c r="D139" s="539"/>
      <c r="E139" s="540"/>
      <c r="F139" s="541"/>
      <c r="G139" s="540"/>
      <c r="H139" s="540"/>
      <c r="I139" s="540"/>
      <c r="J139" s="542"/>
      <c r="K139" s="543"/>
      <c r="L139" s="468"/>
    </row>
    <row r="140" spans="1:12" ht="14.25">
      <c r="A140" s="468"/>
      <c r="B140" s="544" t="s">
        <v>773</v>
      </c>
      <c r="C140" s="545"/>
      <c r="D140" s="545"/>
      <c r="E140" s="546"/>
      <c r="F140" s="547"/>
      <c r="G140" s="546"/>
      <c r="H140" s="546"/>
      <c r="I140" s="546"/>
      <c r="J140" s="548"/>
      <c r="K140" s="549"/>
      <c r="L140" s="468"/>
    </row>
    <row r="141" spans="1:12" ht="14.25">
      <c r="A141" s="468"/>
      <c r="B141" s="411"/>
      <c r="C141" s="564"/>
      <c r="D141" s="564"/>
      <c r="E141" s="571"/>
      <c r="F141" s="554"/>
      <c r="G141" s="571"/>
      <c r="H141" s="571"/>
      <c r="I141" s="571"/>
      <c r="J141" s="440"/>
      <c r="K141" s="457"/>
      <c r="L141" s="468"/>
    </row>
    <row r="142" spans="1:12" ht="14.25">
      <c r="A142" s="468"/>
      <c r="B142" s="544" t="s">
        <v>774</v>
      </c>
      <c r="C142" s="545"/>
      <c r="D142" s="545"/>
      <c r="E142" s="546"/>
      <c r="F142" s="547"/>
      <c r="G142" s="546"/>
      <c r="H142" s="546"/>
      <c r="I142" s="546"/>
      <c r="J142" s="548"/>
      <c r="K142" s="549"/>
      <c r="L142" s="468"/>
    </row>
    <row r="143" spans="1:12" ht="14.25">
      <c r="A143" s="468"/>
      <c r="B143" s="411"/>
      <c r="C143" s="564"/>
      <c r="D143" s="564"/>
      <c r="E143" s="571"/>
      <c r="F143" s="554"/>
      <c r="G143" s="571"/>
      <c r="H143" s="571"/>
      <c r="I143" s="571"/>
      <c r="J143" s="440"/>
      <c r="K143" s="457"/>
      <c r="L143" s="468"/>
    </row>
    <row r="144" spans="1:12" ht="76.5" customHeight="1">
      <c r="A144" s="468"/>
      <c r="B144" s="1065" t="s">
        <v>775</v>
      </c>
      <c r="C144" s="1066"/>
      <c r="D144" s="1066"/>
      <c r="E144" s="1066"/>
      <c r="F144" s="1066"/>
      <c r="G144" s="1066"/>
      <c r="H144" s="1066"/>
      <c r="I144" s="1066"/>
      <c r="J144" s="1066"/>
      <c r="K144" s="1067"/>
      <c r="L144" s="468"/>
    </row>
    <row r="145" spans="1:12" ht="15" thickBot="1">
      <c r="A145" s="468"/>
      <c r="B145" s="411"/>
      <c r="C145" s="564"/>
      <c r="D145" s="564"/>
      <c r="E145" s="571"/>
      <c r="F145" s="554"/>
      <c r="G145" s="571"/>
      <c r="H145" s="571"/>
      <c r="I145" s="571"/>
      <c r="J145" s="440"/>
      <c r="K145" s="457"/>
      <c r="L145" s="468"/>
    </row>
    <row r="146" spans="1:12" ht="14.25">
      <c r="A146" s="468"/>
      <c r="B146" s="462" t="s">
        <v>679</v>
      </c>
      <c r="C146" s="555"/>
      <c r="D146" s="555"/>
      <c r="E146" s="556"/>
      <c r="F146" s="557"/>
      <c r="G146" s="556"/>
      <c r="H146" s="556"/>
      <c r="I146" s="556"/>
      <c r="J146" s="558"/>
      <c r="K146" s="460"/>
      <c r="L146" s="468"/>
    </row>
    <row r="147" spans="1:12" ht="14.25">
      <c r="A147" s="468"/>
      <c r="B147" s="411"/>
      <c r="C147" s="1063" t="s">
        <v>776</v>
      </c>
      <c r="D147" s="1063"/>
      <c r="E147" s="571"/>
      <c r="F147" s="554" t="s">
        <v>777</v>
      </c>
      <c r="G147" s="571"/>
      <c r="H147" s="571"/>
      <c r="I147" s="571"/>
      <c r="J147" s="1061" t="s">
        <v>778</v>
      </c>
      <c r="K147" s="1068"/>
      <c r="L147" s="468"/>
    </row>
    <row r="148" spans="1:12" ht="14.25">
      <c r="A148" s="468"/>
      <c r="B148" s="411"/>
      <c r="C148" s="1060">
        <v>52.869</v>
      </c>
      <c r="D148" s="1060"/>
      <c r="E148" s="571" t="s">
        <v>254</v>
      </c>
      <c r="F148" s="567">
        <v>312000000</v>
      </c>
      <c r="G148" s="559" t="s">
        <v>684</v>
      </c>
      <c r="H148" s="571">
        <v>1000</v>
      </c>
      <c r="I148" s="571" t="s">
        <v>683</v>
      </c>
      <c r="J148" s="1061">
        <f>C148*(F148/1000)</f>
        <v>16495128</v>
      </c>
      <c r="K148" s="1062"/>
      <c r="L148" s="468"/>
    </row>
    <row r="149" spans="1:12" ht="15" thickBot="1">
      <c r="A149" s="468"/>
      <c r="B149" s="409"/>
      <c r="C149" s="551"/>
      <c r="D149" s="551"/>
      <c r="E149" s="423"/>
      <c r="F149" s="552"/>
      <c r="G149" s="423"/>
      <c r="H149" s="423"/>
      <c r="I149" s="423"/>
      <c r="J149" s="553"/>
      <c r="K149" s="453"/>
      <c r="L149" s="468"/>
    </row>
    <row r="150" spans="1:12" ht="15" thickBot="1">
      <c r="A150" s="468"/>
      <c r="B150" s="409"/>
      <c r="C150" s="454"/>
      <c r="D150" s="454"/>
      <c r="E150" s="454"/>
      <c r="F150" s="454"/>
      <c r="G150" s="454"/>
      <c r="H150" s="454"/>
      <c r="I150" s="454"/>
      <c r="J150" s="454"/>
      <c r="K150" s="453"/>
      <c r="L150" s="468"/>
    </row>
    <row r="151" spans="1:12" ht="14.25">
      <c r="A151" s="468"/>
      <c r="B151" s="468"/>
      <c r="C151" s="468"/>
      <c r="D151" s="468"/>
      <c r="E151" s="468"/>
      <c r="F151" s="468"/>
      <c r="G151" s="468"/>
      <c r="H151" s="468"/>
      <c r="I151" s="468"/>
      <c r="J151" s="468"/>
      <c r="K151" s="468"/>
      <c r="L151" s="468"/>
    </row>
    <row r="152" spans="1:12" ht="14.25">
      <c r="A152" s="468"/>
      <c r="B152" s="468"/>
      <c r="C152" s="468"/>
      <c r="D152" s="468"/>
      <c r="E152" s="468"/>
      <c r="F152" s="468"/>
      <c r="G152" s="468"/>
      <c r="H152" s="468"/>
      <c r="I152" s="468"/>
      <c r="J152" s="468"/>
      <c r="K152" s="468"/>
      <c r="L152" s="468"/>
    </row>
    <row r="153" spans="1:12" ht="14.25">
      <c r="A153" s="468"/>
      <c r="B153" s="468"/>
      <c r="C153" s="468"/>
      <c r="D153" s="468"/>
      <c r="E153" s="468"/>
      <c r="F153" s="468"/>
      <c r="G153" s="468"/>
      <c r="H153" s="468"/>
      <c r="I153" s="468"/>
      <c r="J153" s="468"/>
      <c r="K153" s="468"/>
      <c r="L153" s="468"/>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H134:I134"/>
    <mergeCell ref="C136:D136"/>
    <mergeCell ref="C137:D137"/>
    <mergeCell ref="B144:K144"/>
    <mergeCell ref="C147:D147"/>
    <mergeCell ref="J147:K147"/>
    <mergeCell ref="B110:K110"/>
    <mergeCell ref="C114:D114"/>
    <mergeCell ref="C117:D117"/>
    <mergeCell ref="B125:K125"/>
    <mergeCell ref="B126:K126"/>
    <mergeCell ref="B128:K128"/>
    <mergeCell ref="C97:D97"/>
    <mergeCell ref="B105:K105"/>
    <mergeCell ref="B106:K106"/>
    <mergeCell ref="B108:K108"/>
    <mergeCell ref="C100:D100"/>
    <mergeCell ref="C103:D103"/>
    <mergeCell ref="B58:K58"/>
    <mergeCell ref="C74:D74"/>
    <mergeCell ref="C77:D77"/>
    <mergeCell ref="C80:D80"/>
    <mergeCell ref="B90:K90"/>
    <mergeCell ref="C94:D94"/>
    <mergeCell ref="C83:D83"/>
    <mergeCell ref="B85:K85"/>
    <mergeCell ref="B86:K86"/>
    <mergeCell ref="B88:K88"/>
    <mergeCell ref="B30:K30"/>
    <mergeCell ref="B31:K31"/>
    <mergeCell ref="B33:K33"/>
    <mergeCell ref="C41:D41"/>
    <mergeCell ref="B48:C48"/>
    <mergeCell ref="G50:H50"/>
    <mergeCell ref="B130:K130"/>
    <mergeCell ref="C133:D133"/>
    <mergeCell ref="H133:I133"/>
    <mergeCell ref="C134:D134"/>
    <mergeCell ref="C120:D120"/>
    <mergeCell ref="C123:D123"/>
    <mergeCell ref="B57:K57"/>
    <mergeCell ref="B35:K35"/>
    <mergeCell ref="I51:K51"/>
    <mergeCell ref="B52:K52"/>
    <mergeCell ref="B53:K53"/>
    <mergeCell ref="B55:K55"/>
    <mergeCell ref="B6:K6"/>
    <mergeCell ref="B7:K7"/>
    <mergeCell ref="B8:K8"/>
    <mergeCell ref="B10:K10"/>
    <mergeCell ref="B12:K12"/>
    <mergeCell ref="C25:D25"/>
    <mergeCell ref="F23:G23"/>
  </mergeCells>
  <printOptions/>
  <pageMargins left="0.7" right="0.7" top="0.75" bottom="0.75" header="0.3" footer="0.3"/>
  <pageSetup blackAndWhite="1" horizontalDpi="600" verticalDpi="600" orientation="portrait" scale="69" r:id="rId1"/>
  <rowBreaks count="2" manualBreakCount="2">
    <brk id="32" min="1" max="10" man="1"/>
    <brk id="89"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B1:I106"/>
  <sheetViews>
    <sheetView zoomScalePageLayoutView="0" workbookViewId="0" topLeftCell="A1">
      <selection activeCell="R126" sqref="R126"/>
    </sheetView>
  </sheetViews>
  <sheetFormatPr defaultColWidth="8.796875" defaultRowHeight="15"/>
  <cols>
    <col min="1" max="1" width="8.8984375" style="121" customWidth="1"/>
    <col min="2" max="2" width="24.296875" style="77" customWidth="1"/>
    <col min="3" max="3" width="10.796875" style="77" customWidth="1"/>
    <col min="4" max="4" width="5.796875" style="77" customWidth="1"/>
    <col min="5" max="5" width="14" style="77" customWidth="1"/>
    <col min="6" max="6" width="13.296875" style="77" customWidth="1"/>
    <col min="7" max="7" width="12.296875" style="77" customWidth="1"/>
    <col min="8" max="16384" width="8.8984375" style="121" customWidth="1"/>
  </cols>
  <sheetData>
    <row r="1" spans="2:9" ht="15.75">
      <c r="B1" s="81"/>
      <c r="C1" s="81"/>
      <c r="D1" s="80" t="s">
        <v>1</v>
      </c>
      <c r="E1" s="81"/>
      <c r="F1" s="81"/>
      <c r="G1" s="161"/>
      <c r="I1" s="65">
        <f>inputPrYr!C10</f>
        <v>0</v>
      </c>
    </row>
    <row r="2" spans="2:7" ht="15.75">
      <c r="B2" s="950" t="str">
        <f>CONCATENATE("To the Clerk of ",(inputPrYr!D4),", State of Kansas")</f>
        <v>To the Clerk of , State of Kansas</v>
      </c>
      <c r="C2" s="904"/>
      <c r="D2" s="904"/>
      <c r="E2" s="904"/>
      <c r="F2" s="904"/>
      <c r="G2" s="904"/>
    </row>
    <row r="3" spans="2:7" ht="15.75">
      <c r="B3" s="162" t="s">
        <v>632</v>
      </c>
      <c r="C3" s="87"/>
      <c r="D3" s="87"/>
      <c r="E3" s="87"/>
      <c r="F3" s="87"/>
      <c r="G3" s="87"/>
    </row>
    <row r="4" spans="2:7" ht="15.75">
      <c r="B4" s="903">
        <f>(inputPrYr!D3)</f>
        <v>0</v>
      </c>
      <c r="C4" s="949"/>
      <c r="D4" s="949"/>
      <c r="E4" s="949"/>
      <c r="F4" s="949"/>
      <c r="G4" s="949"/>
    </row>
    <row r="5" spans="2:7" ht="15.75">
      <c r="B5" s="950" t="s">
        <v>149</v>
      </c>
      <c r="C5" s="904"/>
      <c r="D5" s="904"/>
      <c r="E5" s="904"/>
      <c r="F5" s="904"/>
      <c r="G5" s="904"/>
    </row>
    <row r="6" spans="2:7" ht="15.75">
      <c r="B6" s="950" t="str">
        <f>CONCATENATE("was duly approved and adopted as the maximum expenditures for the various funds for the year ",I1,"; and")</f>
        <v>was duly approved and adopted as the maximum expenditures for the various funds for the year 0; and</v>
      </c>
      <c r="C6" s="904"/>
      <c r="D6" s="904"/>
      <c r="E6" s="904"/>
      <c r="F6" s="904"/>
      <c r="G6" s="904"/>
    </row>
    <row r="7" spans="2:7" ht="15.75">
      <c r="B7" s="162" t="str">
        <f>CONCATENATE("(3) the Amounts(s) of ",I1-1," Ad Valorem Tax are within statutory limitations.")</f>
        <v>(3) the Amounts(s) of -1 Ad Valorem Tax are within statutory limitations.</v>
      </c>
      <c r="C7" s="87"/>
      <c r="D7" s="87"/>
      <c r="E7" s="87"/>
      <c r="F7" s="87"/>
      <c r="G7" s="87"/>
    </row>
    <row r="8" spans="2:7" ht="15.75">
      <c r="B8" s="81"/>
      <c r="C8" s="81"/>
      <c r="D8" s="81"/>
      <c r="E8" s="163" t="str">
        <f>CONCATENATE("",I1," Adopted Budget")</f>
        <v>0 Adopted Budget</v>
      </c>
      <c r="F8" s="164"/>
      <c r="G8" s="165"/>
    </row>
    <row r="9" spans="2:7" ht="21" customHeight="1">
      <c r="B9" s="81"/>
      <c r="C9" s="81"/>
      <c r="D9" s="166"/>
      <c r="E9" s="167" t="s">
        <v>242</v>
      </c>
      <c r="F9" s="168" t="str">
        <f>CONCATENATE("Amount of ",I1-1,"")</f>
        <v>Amount of -1</v>
      </c>
      <c r="G9" s="168" t="s">
        <v>243</v>
      </c>
    </row>
    <row r="10" spans="2:7" ht="15.75">
      <c r="B10" s="84"/>
      <c r="C10" s="81"/>
      <c r="D10" s="168" t="s">
        <v>244</v>
      </c>
      <c r="E10" s="169" t="s">
        <v>637</v>
      </c>
      <c r="F10" s="170" t="s">
        <v>84</v>
      </c>
      <c r="G10" s="169" t="s">
        <v>245</v>
      </c>
    </row>
    <row r="11" spans="2:7" ht="15.75">
      <c r="B11" s="171" t="s">
        <v>246</v>
      </c>
      <c r="C11" s="88"/>
      <c r="D11" s="172" t="s">
        <v>247</v>
      </c>
      <c r="E11" s="172" t="s">
        <v>638</v>
      </c>
      <c r="F11" s="173" t="s">
        <v>85</v>
      </c>
      <c r="G11" s="172" t="s">
        <v>248</v>
      </c>
    </row>
    <row r="12" spans="2:7" ht="15.75">
      <c r="B12" s="137" t="str">
        <f>CONCATENATE("Computation to Determine Limit for ",I1,"")</f>
        <v>Computation to Determine Limit for 0</v>
      </c>
      <c r="C12" s="113"/>
      <c r="D12" s="174">
        <v>2</v>
      </c>
      <c r="E12" s="175"/>
      <c r="F12" s="175"/>
      <c r="G12" s="175"/>
    </row>
    <row r="13" spans="2:7" ht="15.75">
      <c r="B13" s="137" t="s">
        <v>939</v>
      </c>
      <c r="C13" s="88"/>
      <c r="D13" s="172">
        <v>3</v>
      </c>
      <c r="E13" s="169"/>
      <c r="F13" s="169"/>
      <c r="G13" s="169"/>
    </row>
    <row r="14" spans="2:7" ht="15.75">
      <c r="B14" s="137" t="s">
        <v>52</v>
      </c>
      <c r="C14" s="88"/>
      <c r="D14" s="172">
        <v>4</v>
      </c>
      <c r="E14" s="169"/>
      <c r="F14" s="169"/>
      <c r="G14" s="169"/>
    </row>
    <row r="15" spans="2:7" ht="15.75">
      <c r="B15" s="137" t="s">
        <v>249</v>
      </c>
      <c r="C15" s="113"/>
      <c r="D15" s="174">
        <v>5</v>
      </c>
      <c r="E15" s="176"/>
      <c r="F15" s="176"/>
      <c r="G15" s="176"/>
    </row>
    <row r="16" spans="2:7" ht="15.75">
      <c r="B16" s="137" t="s">
        <v>250</v>
      </c>
      <c r="C16" s="113"/>
      <c r="D16" s="174">
        <v>6</v>
      </c>
      <c r="E16" s="176"/>
      <c r="F16" s="176"/>
      <c r="G16" s="176"/>
    </row>
    <row r="17" spans="2:7" ht="15.75">
      <c r="B17" s="298">
        <f>IF(inputPrYr!D24="","","Computation to Determine State Library Grant")</f>
      </c>
      <c r="C17" s="113"/>
      <c r="D17" s="184">
        <f>IF(inputPrYr!D24="","",'Library Grant '!F39)</f>
      </c>
      <c r="E17" s="176"/>
      <c r="F17" s="176"/>
      <c r="G17" s="176"/>
    </row>
    <row r="18" spans="2:7" ht="15.75">
      <c r="B18" s="177" t="s">
        <v>251</v>
      </c>
      <c r="C18" s="178" t="s">
        <v>252</v>
      </c>
      <c r="D18" s="179"/>
      <c r="E18" s="180"/>
      <c r="F18" s="180"/>
      <c r="G18" s="180"/>
    </row>
    <row r="19" spans="2:7" ht="15.75">
      <c r="B19" s="93" t="s">
        <v>239</v>
      </c>
      <c r="C19" s="181" t="str">
        <f>IF(inputPrYr!C22&gt;0,(inputPrYr!C22),"  ")</f>
        <v>12-101a</v>
      </c>
      <c r="D19" s="174">
        <f>general!D62</f>
        <v>7</v>
      </c>
      <c r="E19" s="326" t="str">
        <f>IF(general!$E$113&lt;&gt;0,general!$E$113,"  ")</f>
        <v>  </v>
      </c>
      <c r="F19" s="710">
        <f>IF(general!$E$120&lt;&gt;0,general!$E$120,0)</f>
        <v>0</v>
      </c>
      <c r="G19" s="711">
        <f>IF($C$65=0,"",ROUND(F19/$C$65*1000,3))</f>
      </c>
    </row>
    <row r="20" spans="2:7" ht="15.75">
      <c r="B20" s="109" t="str">
        <f>IF(inputPrYr!$B23&gt;"  ",(inputPrYr!$B23),"  ")</f>
        <v>Debt Service</v>
      </c>
      <c r="C20" s="181" t="str">
        <f>IF(inputPrYr!C23&gt;0,(inputPrYr!C23),"  ")</f>
        <v>10-113</v>
      </c>
      <c r="D20" s="174" t="str">
        <f>IF('DebtSvs-Library'!C86&gt;0,'DebtSvs-Library'!C86,"  ")</f>
        <v>  </v>
      </c>
      <c r="E20" s="326" t="str">
        <f>IF('DebtSvs-Library'!$E$35&lt;&gt;0,'DebtSvs-Library'!$E$35,"  ")</f>
        <v>  </v>
      </c>
      <c r="F20" s="710">
        <f>IF('DebtSvs-Library'!$E$42&lt;&gt;0,'DebtSvs-Library'!$E$42,0)</f>
        <v>0</v>
      </c>
      <c r="G20" s="711">
        <f aca="true" t="shared" si="0" ref="G20:G31">IF($C$65=0,"",ROUND(F20/$C$65*1000,3))</f>
      </c>
    </row>
    <row r="21" spans="2:7" ht="15.75">
      <c r="B21" s="109" t="str">
        <f>IF(inputPrYr!$B24&gt;"  ",(inputPrYr!$B24),"  ")</f>
        <v>Library</v>
      </c>
      <c r="C21" s="181" t="str">
        <f>IF(inputPrYr!C24&gt;0,(inputPrYr!C24),"  ")</f>
        <v>12-1220</v>
      </c>
      <c r="D21" s="174" t="str">
        <f>IF('DebtSvs-Library'!C86&gt;0,'DebtSvs-Library'!C86,"  ")</f>
        <v>  </v>
      </c>
      <c r="E21" s="326" t="str">
        <f>IF('DebtSvs-Library'!$E$77&lt;&gt;0,'DebtSvs-Library'!$E$77,"  ")</f>
        <v>  </v>
      </c>
      <c r="F21" s="710">
        <f>IF('DebtSvs-Library'!$E$84&lt;&gt;0,'DebtSvs-Library'!$E$84,0)</f>
        <v>0</v>
      </c>
      <c r="G21" s="711">
        <f>IF($C$65=0,"",ROUND(F21/$C$65*1000,3))</f>
      </c>
    </row>
    <row r="22" spans="2:7" ht="15.75">
      <c r="B22" s="109" t="str">
        <f>IF(inputPrYr!$B26&gt;"  ",(inputPrYr!$B26),"  ")</f>
        <v>  </v>
      </c>
      <c r="C22" s="181" t="str">
        <f>IF(inputPrYr!C26&gt;0,(inputPrYr!C26),"  ")</f>
        <v>  </v>
      </c>
      <c r="D22" s="174" t="str">
        <f>IF('levy page9'!C86&gt;0,'levy page9'!C86,"  ")</f>
        <v>  </v>
      </c>
      <c r="E22" s="326" t="str">
        <f>IF('levy page9'!$E$35&gt;0,'levy page9'!$E$35,"  ")</f>
        <v>  </v>
      </c>
      <c r="F22" s="710">
        <f>IF('levy page9'!$E$42&lt;&gt;0,'levy page9'!$E$42,0)</f>
        <v>0</v>
      </c>
      <c r="G22" s="711">
        <f t="shared" si="0"/>
      </c>
    </row>
    <row r="23" spans="2:7" ht="15.75">
      <c r="B23" s="109" t="str">
        <f>IF(inputPrYr!$B27&gt;"  ",(inputPrYr!$B27),"  ")</f>
        <v>  </v>
      </c>
      <c r="C23" s="181" t="str">
        <f>IF(inputPrYr!C27&gt;0,(inputPrYr!C27),"  ")</f>
        <v>  </v>
      </c>
      <c r="D23" s="174" t="str">
        <f>IF('levy page9'!C86&gt;0,'levy page9'!C86,"  ")</f>
        <v>  </v>
      </c>
      <c r="E23" s="326" t="str">
        <f>IF('levy page9'!$E$77&gt;0,'levy page9'!$E$77,"  ")</f>
        <v>  </v>
      </c>
      <c r="F23" s="710">
        <f>IF('levy page9'!$E$84&lt;&gt;0,'levy page9'!$E$84,0)</f>
        <v>0</v>
      </c>
      <c r="G23" s="711">
        <f t="shared" si="0"/>
      </c>
    </row>
    <row r="24" spans="2:7" ht="15.75">
      <c r="B24" s="109" t="str">
        <f>IF(inputPrYr!$B28&gt;"  ",(inputPrYr!$B28),"  ")</f>
        <v>  </v>
      </c>
      <c r="C24" s="181" t="str">
        <f>IF(inputPrYr!C28&gt;0,(inputPrYr!C28),"  ")</f>
        <v>  </v>
      </c>
      <c r="D24" s="174" t="str">
        <f>IF('levy page10'!C86&gt;0,'levy page10'!C86,"  ")</f>
        <v>  </v>
      </c>
      <c r="E24" s="326" t="str">
        <f>IF('levy page10'!$E$35&gt;0,'levy page10'!$E$35,"  ")</f>
        <v>  </v>
      </c>
      <c r="F24" s="710">
        <f>IF('levy page10'!$E$42&lt;&gt;0,'levy page10'!$E$42,0)</f>
        <v>0</v>
      </c>
      <c r="G24" s="711">
        <f t="shared" si="0"/>
      </c>
    </row>
    <row r="25" spans="2:7" ht="15.75">
      <c r="B25" s="109" t="str">
        <f>IF(inputPrYr!$B29&gt;"  ",(inputPrYr!$B29),"  ")</f>
        <v>  </v>
      </c>
      <c r="C25" s="181" t="str">
        <f>IF(inputPrYr!C29&gt;0,(inputPrYr!C29),"  ")</f>
        <v>  </v>
      </c>
      <c r="D25" s="174" t="str">
        <f>IF('levy page10'!C86&gt;0,'levy page10'!C86,"  ")</f>
        <v>  </v>
      </c>
      <c r="E25" s="326" t="str">
        <f>IF('levy page10'!$E$77&gt;0,'levy page10'!$E$77,"  ")</f>
        <v>  </v>
      </c>
      <c r="F25" s="710">
        <f>IF('levy page10'!$E$84&lt;&gt;0,'levy page10'!$E$84,0)</f>
        <v>0</v>
      </c>
      <c r="G25" s="711">
        <f t="shared" si="0"/>
      </c>
    </row>
    <row r="26" spans="2:7" ht="15.75">
      <c r="B26" s="109" t="str">
        <f>IF(inputPrYr!$B30&gt;"  ",(inputPrYr!$B30),"  ")</f>
        <v>  </v>
      </c>
      <c r="C26" s="181" t="str">
        <f>IF(inputPrYr!C30&gt;0,(inputPrYr!C30),"  ")</f>
        <v>  </v>
      </c>
      <c r="D26" s="174" t="str">
        <f>IF('levy page11'!C86&gt;0,'levy page11'!C86,"  ")</f>
        <v>  </v>
      </c>
      <c r="E26" s="326" t="str">
        <f>IF('levy page11'!$E$35&gt;0,'levy page11'!$E$35,"  ")</f>
        <v>  </v>
      </c>
      <c r="F26" s="710">
        <f>IF('levy page11'!$E$42&lt;&gt;0,'levy page11'!$E$42,0)</f>
        <v>0</v>
      </c>
      <c r="G26" s="711">
        <f t="shared" si="0"/>
      </c>
    </row>
    <row r="27" spans="2:7" ht="15.75">
      <c r="B27" s="109" t="str">
        <f>IF(inputPrYr!$B31&gt;"  ",(inputPrYr!$B31),"  ")</f>
        <v>  </v>
      </c>
      <c r="C27" s="181" t="str">
        <f>IF(inputPrYr!C31&gt;0,(inputPrYr!C31),"  ")</f>
        <v>  </v>
      </c>
      <c r="D27" s="174" t="str">
        <f>IF('levy page11'!C86&gt;0,'levy page11'!C86,"  ")</f>
        <v>  </v>
      </c>
      <c r="E27" s="326" t="str">
        <f>IF('levy page11'!$E$77&gt;0,'levy page11'!$E$77,"  ")</f>
        <v>  </v>
      </c>
      <c r="F27" s="710">
        <f>IF('levy page11'!$E$84&lt;&gt;0,'levy page11'!$E$84,0)</f>
        <v>0</v>
      </c>
      <c r="G27" s="711">
        <f t="shared" si="0"/>
      </c>
    </row>
    <row r="28" spans="2:7" ht="15.75">
      <c r="B28" s="109" t="str">
        <f>IF(inputPrYr!$B32&gt;"  ",(inputPrYr!$B32),"  ")</f>
        <v>  </v>
      </c>
      <c r="C28" s="181" t="str">
        <f>IF(inputPrYr!C32&gt;0,(inputPrYr!C32),"  ")</f>
        <v>  </v>
      </c>
      <c r="D28" s="174" t="str">
        <f>IF('levy page12'!C86&gt;0,'levy page12'!C86,"  ")</f>
        <v>  </v>
      </c>
      <c r="E28" s="326" t="str">
        <f>IF('levy page12'!$E$35&gt;0,'levy page12'!$E$35,"  ")</f>
        <v>  </v>
      </c>
      <c r="F28" s="710">
        <f>IF('levy page12'!$E$42&lt;&gt;0,'levy page12'!$E$42,0)</f>
        <v>0</v>
      </c>
      <c r="G28" s="711">
        <f t="shared" si="0"/>
      </c>
    </row>
    <row r="29" spans="2:7" ht="15.75">
      <c r="B29" s="109" t="str">
        <f>IF(inputPrYr!$B33&gt;"  ",(inputPrYr!$B33),"  ")</f>
        <v>  </v>
      </c>
      <c r="C29" s="181" t="str">
        <f>IF(inputPrYr!C33&gt;0,(inputPrYr!C33),"  ")</f>
        <v>  </v>
      </c>
      <c r="D29" s="174" t="str">
        <f>IF('levy page12'!C86&gt;0,'levy page12'!C86,"  ")</f>
        <v>  </v>
      </c>
      <c r="E29" s="326" t="str">
        <f>IF('levy page12'!$E$77&gt;0,'levy page12'!$E$77,"  ")</f>
        <v>  </v>
      </c>
      <c r="F29" s="710">
        <f>IF('levy page12'!$E$84&lt;&gt;0,'levy page12'!$E$84,0)</f>
        <v>0</v>
      </c>
      <c r="G29" s="711">
        <f t="shared" si="0"/>
      </c>
    </row>
    <row r="30" spans="2:7" ht="15.75">
      <c r="B30" s="109" t="str">
        <f>IF(inputPrYr!$B34&gt;"  ",(inputPrYr!$B34),"  ")</f>
        <v>  </v>
      </c>
      <c r="C30" s="181" t="str">
        <f>IF(inputPrYr!C34&gt;0,(inputPrYr!C34),"  ")</f>
        <v>  </v>
      </c>
      <c r="D30" s="174" t="str">
        <f>IF('levy page13'!C86&gt;0,'levy page13'!C86,"  ")</f>
        <v>  </v>
      </c>
      <c r="E30" s="326" t="str">
        <f>IF('levy page13'!$E$35&gt;0,'levy page13'!$E$35,"  ")</f>
        <v>  </v>
      </c>
      <c r="F30" s="710">
        <f>IF('levy page13'!$E$42&lt;&gt;0,'levy page13'!$E$42,0)</f>
        <v>0</v>
      </c>
      <c r="G30" s="711">
        <f t="shared" si="0"/>
      </c>
    </row>
    <row r="31" spans="2:7" ht="15.75">
      <c r="B31" s="109" t="str">
        <f>IF(inputPrYr!$B35&gt;"  ",(inputPrYr!$B35),"  ")</f>
        <v>  </v>
      </c>
      <c r="C31" s="181" t="str">
        <f>IF(inputPrYr!C35&gt;0,(inputPrYr!C35),"  ")</f>
        <v>  </v>
      </c>
      <c r="D31" s="174" t="str">
        <f>IF('levy page13'!C86&gt;0,'levy page13'!C86,"  ")</f>
        <v>  </v>
      </c>
      <c r="E31" s="326" t="str">
        <f>IF('levy page13'!$E$77&gt;0,'levy page13'!$E$77,"  ")</f>
        <v>  </v>
      </c>
      <c r="F31" s="710">
        <f>IF('levy page13'!$E$84&lt;&gt;0,'levy page13'!$E$84,0)</f>
        <v>0</v>
      </c>
      <c r="G31" s="711">
        <f t="shared" si="0"/>
      </c>
    </row>
    <row r="32" spans="2:7" ht="15.75">
      <c r="B32" s="182" t="str">
        <f>IF(inputPrYr!$B39&gt;"  ",(inputPrYr!$B39),"  ")</f>
        <v>Special Highway</v>
      </c>
      <c r="C32" s="183"/>
      <c r="D32" s="184" t="str">
        <f>IF('Sp Hiway'!C69&gt;0,'Sp Hiway'!C69,"  ")</f>
        <v>  </v>
      </c>
      <c r="E32" s="326" t="str">
        <f>IF('Sp Hiway'!$E$30&gt;0,'Sp Hiway'!$E$30,"  ")</f>
        <v>  </v>
      </c>
      <c r="F32" s="326"/>
      <c r="G32" s="712"/>
    </row>
    <row r="33" spans="2:7" ht="15.75">
      <c r="B33" s="182" t="str">
        <f>IF(inputPrYr!$B40&gt;"  ",(inputPrYr!$B40),"  ")</f>
        <v>  </v>
      </c>
      <c r="C33" s="185"/>
      <c r="D33" s="184" t="str">
        <f>IF('Sp Hiway'!C69&gt;0,'Sp Hiway'!C69,"  ")</f>
        <v>  </v>
      </c>
      <c r="E33" s="326" t="str">
        <f>IF('Sp Hiway'!$E$63&gt;0,'Sp Hiway'!$E$63,"  ")</f>
        <v>  </v>
      </c>
      <c r="F33" s="326"/>
      <c r="G33" s="712"/>
    </row>
    <row r="34" spans="2:7" ht="15.75">
      <c r="B34" s="182" t="str">
        <f>IF(inputPrYr!$B41&gt;"  ",(inputPrYr!$B41),"  ")</f>
        <v>  </v>
      </c>
      <c r="C34" s="186"/>
      <c r="D34" s="184" t="str">
        <f>IF('no levy page15'!C69&gt;0,'no levy page15'!C69,"  ")</f>
        <v>  </v>
      </c>
      <c r="E34" s="326" t="str">
        <f>IF('no levy page15'!$E$30&gt;0,'no levy page15'!$E$30,"  ")</f>
        <v>  </v>
      </c>
      <c r="F34" s="326"/>
      <c r="G34" s="712"/>
    </row>
    <row r="35" spans="2:7" ht="15.75">
      <c r="B35" s="182" t="str">
        <f>IF(inputPrYr!$B42&gt;"  ",(inputPrYr!$B42),"  ")</f>
        <v>  </v>
      </c>
      <c r="C35" s="186"/>
      <c r="D35" s="184" t="str">
        <f>IF('no levy page15'!C69&gt;0,'no levy page15'!C69,"  ")</f>
        <v>  </v>
      </c>
      <c r="E35" s="326" t="str">
        <f>IF('no levy page15'!$E$63&gt;0,'no levy page15'!$E$63,"  ")</f>
        <v>  </v>
      </c>
      <c r="F35" s="326"/>
      <c r="G35" s="712"/>
    </row>
    <row r="36" spans="2:7" ht="15.75">
      <c r="B36" s="182" t="str">
        <f>IF(inputPrYr!$B43&gt;"  ",(inputPrYr!$B43),"  ")</f>
        <v>  </v>
      </c>
      <c r="C36" s="186"/>
      <c r="D36" s="184" t="str">
        <f>IF('no levy page16'!C69&gt;0,'no levy page16'!C69,"  ")</f>
        <v>  </v>
      </c>
      <c r="E36" s="326" t="str">
        <f>IF('no levy page16'!$E$30&gt;0,'no levy page16'!$E$30,"  ")</f>
        <v>  </v>
      </c>
      <c r="F36" s="326"/>
      <c r="G36" s="712"/>
    </row>
    <row r="37" spans="2:7" ht="15.75">
      <c r="B37" s="182" t="str">
        <f>IF(inputPrYr!$B44&gt;"  ",(inputPrYr!$B44),"  ")</f>
        <v>  </v>
      </c>
      <c r="C37" s="186"/>
      <c r="D37" s="184" t="str">
        <f>IF('no levy page16'!C69&gt;0,'no levy page16'!C69,"  ")</f>
        <v>  </v>
      </c>
      <c r="E37" s="326" t="str">
        <f>IF('no levy page16'!$E$63&gt;0,'no levy page16'!$E$63,"  ")</f>
        <v>  </v>
      </c>
      <c r="F37" s="326"/>
      <c r="G37" s="712"/>
    </row>
    <row r="38" spans="2:7" ht="15.75">
      <c r="B38" s="182" t="str">
        <f>IF(inputPrYr!$B45&gt;"  ",(inputPrYr!$B45),"  ")</f>
        <v>  </v>
      </c>
      <c r="C38" s="186"/>
      <c r="D38" s="184" t="str">
        <f>IF('no levy page17'!C69&gt;0,'no levy page17'!C69,"  ")</f>
        <v>  </v>
      </c>
      <c r="E38" s="326" t="str">
        <f>IF('no levy page17'!$E$30&gt;0,'no levy page17'!$E$30,"  ")</f>
        <v>  </v>
      </c>
      <c r="F38" s="326"/>
      <c r="G38" s="712"/>
    </row>
    <row r="39" spans="2:7" ht="15.75">
      <c r="B39" s="182" t="str">
        <f>IF(inputPrYr!$B46&gt;"  ",(inputPrYr!$B46),"  ")</f>
        <v>  </v>
      </c>
      <c r="C39" s="186"/>
      <c r="D39" s="184" t="str">
        <f>IF('no levy page17'!C69&gt;0,'no levy page17'!C69,"  ")</f>
        <v>  </v>
      </c>
      <c r="E39" s="326" t="str">
        <f>IF('no levy page17'!$E$63&gt;0,'no levy page17'!$E$63,"  ")</f>
        <v>  </v>
      </c>
      <c r="F39" s="326"/>
      <c r="G39" s="712"/>
    </row>
    <row r="40" spans="2:7" ht="15.75">
      <c r="B40" s="182" t="str">
        <f>IF(inputPrYr!$B47&gt;"  ",(inputPrYr!$B47),"  ")</f>
        <v>  </v>
      </c>
      <c r="C40" s="183"/>
      <c r="D40" s="184" t="str">
        <f>IF('no levy page18'!C69&gt;0,'no levy page18'!C69,"  ")</f>
        <v>  </v>
      </c>
      <c r="E40" s="326" t="str">
        <f>IF('no levy page18'!$E$30&gt;0,'no levy page18'!$E$30,"  ")</f>
        <v>  </v>
      </c>
      <c r="F40" s="326"/>
      <c r="G40" s="712"/>
    </row>
    <row r="41" spans="2:7" ht="15.75">
      <c r="B41" s="182" t="str">
        <f>IF(inputPrYr!$B48&gt;"  ",(inputPrYr!$B48),"  ")</f>
        <v>  </v>
      </c>
      <c r="C41" s="183"/>
      <c r="D41" s="184" t="str">
        <f>IF('no levy page18'!C69&gt;0,'no levy page18'!C69,"  ")</f>
        <v>  </v>
      </c>
      <c r="E41" s="326" t="str">
        <f>IF('no levy page18'!$E$63&gt;0,'no levy page18'!$E$63,"  ")</f>
        <v>  </v>
      </c>
      <c r="F41" s="326"/>
      <c r="G41" s="712"/>
    </row>
    <row r="42" spans="2:7" ht="15.75">
      <c r="B42" s="182" t="str">
        <f>IF(inputPrYr!$B49&gt;"  ",(inputPrYr!$B49),"  ")</f>
        <v>  </v>
      </c>
      <c r="C42" s="183"/>
      <c r="D42" s="184" t="str">
        <f>IF('no levy page19'!C69&gt;0,'no levy page19'!C69,"  ")</f>
        <v>  </v>
      </c>
      <c r="E42" s="326" t="str">
        <f>IF('no levy page19'!$E$30&gt;0,'no levy page19'!$E$30,"  ")</f>
        <v>  </v>
      </c>
      <c r="F42" s="326"/>
      <c r="G42" s="712"/>
    </row>
    <row r="43" spans="2:7" ht="15.75">
      <c r="B43" s="182" t="str">
        <f>IF(inputPrYr!$B50&gt;"  ",(inputPrYr!$B50),"  ")</f>
        <v>  </v>
      </c>
      <c r="C43" s="183"/>
      <c r="D43" s="184" t="str">
        <f>IF('no levy page19'!C69&gt;0,'no levy page19'!C69,"  ")</f>
        <v>  </v>
      </c>
      <c r="E43" s="326" t="str">
        <f>IF('no levy page19'!$E$63&gt;0,'no levy page19'!$E$63,"  ")</f>
        <v>  </v>
      </c>
      <c r="F43" s="326"/>
      <c r="G43" s="712"/>
    </row>
    <row r="44" spans="2:7" ht="15.75">
      <c r="B44" s="182" t="str">
        <f>IF(inputPrYr!$B51&gt;"  ",(inputPrYr!$B51),"  ")</f>
        <v>  </v>
      </c>
      <c r="C44" s="183"/>
      <c r="D44" s="184" t="str">
        <f>IF('no levy page20'!C69&gt;0,'no levy page20'!C69,"  ")</f>
        <v>  </v>
      </c>
      <c r="E44" s="326" t="str">
        <f>IF('no levy page20'!$E$30&gt;0,'no levy page20'!$E$30,"  ")</f>
        <v>  </v>
      </c>
      <c r="F44" s="326"/>
      <c r="G44" s="712"/>
    </row>
    <row r="45" spans="2:7" ht="15.75">
      <c r="B45" s="182" t="str">
        <f>IF(inputPrYr!$B52&gt;"  ",(inputPrYr!$B52),"  ")</f>
        <v>  </v>
      </c>
      <c r="C45" s="183"/>
      <c r="D45" s="184" t="str">
        <f>IF('no levy page20'!C69&gt;0,'no levy page20'!C69,"  ")</f>
        <v>  </v>
      </c>
      <c r="E45" s="326" t="str">
        <f>IF('no levy page20'!$E$63&gt;0,'no levy page20'!$E$63,"  ")</f>
        <v>  </v>
      </c>
      <c r="F45" s="326"/>
      <c r="G45" s="712"/>
    </row>
    <row r="46" spans="2:7" ht="15.75">
      <c r="B46" s="182" t="str">
        <f>IF(inputPrYr!$B53&gt;"  ",(inputPrYr!$B53),"  ")</f>
        <v>  </v>
      </c>
      <c r="C46" s="183"/>
      <c r="D46" s="184" t="str">
        <f>IF('no levy page21'!C69&gt;0,'no levy page21'!C69,"  ")</f>
        <v>  </v>
      </c>
      <c r="E46" s="326" t="str">
        <f>IF('no levy page21'!$E$30&gt;0,'no levy page21'!$E$30,"  ")</f>
        <v>  </v>
      </c>
      <c r="F46" s="326"/>
      <c r="G46" s="712"/>
    </row>
    <row r="47" spans="2:7" ht="15.75">
      <c r="B47" s="182" t="str">
        <f>IF(inputPrYr!$B54&gt;"  ",(inputPrYr!$B54),"  ")</f>
        <v>  </v>
      </c>
      <c r="C47" s="185"/>
      <c r="D47" s="184" t="str">
        <f>IF('no levy page21'!C69&gt;0,'no levy page21'!C69,"  ")</f>
        <v>  </v>
      </c>
      <c r="E47" s="326" t="str">
        <f>IF('no levy page21'!$E$63&gt;0,'no levy page21'!$E$63,"  ")</f>
        <v>  </v>
      </c>
      <c r="F47" s="326"/>
      <c r="G47" s="712"/>
    </row>
    <row r="48" spans="2:7" ht="15.75">
      <c r="B48" s="182" t="str">
        <f>IF(inputPrYr!$B56&gt;"  ",(inputPrYr!$B56),"  ")</f>
        <v>  </v>
      </c>
      <c r="C48" s="186"/>
      <c r="D48" s="184" t="str">
        <f>IF(SinNoLevy22!C53&gt;0,SinNoLevy22!C53,"  ")</f>
        <v>  </v>
      </c>
      <c r="E48" s="326" t="str">
        <f>IF(SinNoLevy22!$E$47&gt;0,SinNoLevy22!$E$47,"  ")</f>
        <v>  </v>
      </c>
      <c r="F48" s="326"/>
      <c r="G48" s="712"/>
    </row>
    <row r="49" spans="2:7" ht="15.75">
      <c r="B49" s="182" t="str">
        <f>IF(inputPrYr!$B57&gt;"  ",(inputPrYr!$B57),"  ")</f>
        <v>  </v>
      </c>
      <c r="C49" s="186"/>
      <c r="D49" s="184" t="str">
        <f>IF(SinNoLevy23!C53&gt;0,SinNoLevy23!C53,"  ")</f>
        <v>  </v>
      </c>
      <c r="E49" s="326" t="str">
        <f>IF(SinNoLevy23!$E$47&gt;0,SinNoLevy23!$E$47,"  ")</f>
        <v>  </v>
      </c>
      <c r="F49" s="326"/>
      <c r="G49" s="712"/>
    </row>
    <row r="50" spans="2:7" ht="15.75">
      <c r="B50" s="182" t="str">
        <f>IF(inputPrYr!$B58&gt;"  ",(inputPrYr!$B58),"  ")</f>
        <v>  </v>
      </c>
      <c r="C50" s="186"/>
      <c r="D50" s="184" t="str">
        <f>IF(SinNoLevy24!C53&gt;0,SinNoLevy24!C53,"  ")</f>
        <v>  </v>
      </c>
      <c r="E50" s="326" t="str">
        <f>IF(SinNoLevy24!$E$47&gt;0,SinNoLevy24!$E$47,"  ")</f>
        <v>  </v>
      </c>
      <c r="F50" s="326"/>
      <c r="G50" s="712"/>
    </row>
    <row r="51" spans="2:7" ht="15.75">
      <c r="B51" s="182" t="str">
        <f>IF(inputPrYr!$B59&gt;"  ",(inputPrYr!$B59),"  ")</f>
        <v>  </v>
      </c>
      <c r="C51" s="186"/>
      <c r="D51" s="184" t="str">
        <f>IF(SinNoLevy25!C53&gt;0,SinNoLevy25!C53,"  ")</f>
        <v>  </v>
      </c>
      <c r="E51" s="326" t="str">
        <f>IF(SinNoLevy25!$E$47&gt;0,SinNoLevy25!$E$47,"  ")</f>
        <v>  </v>
      </c>
      <c r="F51" s="326"/>
      <c r="G51" s="712"/>
    </row>
    <row r="52" spans="2:7" ht="15.75">
      <c r="B52" s="182" t="str">
        <f>IF(inputPrYr!$B62&gt;"  ",(NonBudA!$A3),"  ")</f>
        <v>  </v>
      </c>
      <c r="C52" s="186"/>
      <c r="D52" s="184" t="str">
        <f>IF(NonBudA!F33&gt;0,NonBudA!F33,"  ")</f>
        <v>  </v>
      </c>
      <c r="E52" s="326"/>
      <c r="F52" s="326"/>
      <c r="G52" s="712"/>
    </row>
    <row r="53" spans="2:7" ht="15.75">
      <c r="B53" s="182" t="str">
        <f>IF(inputPrYr!$B68&gt;"  ",(NonBudB!$A3),"  ")</f>
        <v>  </v>
      </c>
      <c r="C53" s="186"/>
      <c r="D53" s="184" t="str">
        <f>IF(NonBudB!F33&gt;0,NonBudB!F33,"  ")</f>
        <v>  </v>
      </c>
      <c r="E53" s="326"/>
      <c r="F53" s="326"/>
      <c r="G53" s="712"/>
    </row>
    <row r="54" spans="2:7" ht="15.75">
      <c r="B54" s="182" t="str">
        <f>IF(inputPrYr!$B74&gt;"  ",(NonBudC!$A3),"  ")</f>
        <v>  </v>
      </c>
      <c r="C54" s="186"/>
      <c r="D54" s="184" t="str">
        <f>IF(NonBudC!F33&gt;0,NonBudC!F33,"  ")</f>
        <v>  </v>
      </c>
      <c r="E54" s="326"/>
      <c r="F54" s="326"/>
      <c r="G54" s="712"/>
    </row>
    <row r="55" spans="2:7" ht="16.5" thickBot="1">
      <c r="B55" s="182" t="str">
        <f>IF(inputPrYr!$B80&gt;"  ",(NonBudD!$A3),"  ")</f>
        <v>  </v>
      </c>
      <c r="C55" s="183"/>
      <c r="D55" s="184" t="str">
        <f>IF(NonBudD!F33&gt;0,NonBudD!F33,"  ")</f>
        <v>  </v>
      </c>
      <c r="E55" s="713"/>
      <c r="F55" s="713"/>
      <c r="G55" s="714"/>
    </row>
    <row r="56" spans="2:7" ht="16.5" thickBot="1">
      <c r="B56" s="305" t="s">
        <v>738</v>
      </c>
      <c r="C56" s="110"/>
      <c r="D56" s="335" t="s">
        <v>254</v>
      </c>
      <c r="E56" s="715">
        <f>SUM(E19:E55)</f>
        <v>0</v>
      </c>
      <c r="F56" s="715">
        <f>SUM(F19:F55)</f>
        <v>0</v>
      </c>
      <c r="G56" s="716">
        <f>IF(SUM(G19:G55)=0,"",SUM(G19:G55))</f>
      </c>
    </row>
    <row r="57" spans="2:7" ht="16.5" thickTop="1">
      <c r="B57" s="777" t="s">
        <v>1033</v>
      </c>
      <c r="C57" s="187"/>
      <c r="D57" s="188"/>
      <c r="E57" s="521"/>
      <c r="F57" s="522" t="str">
        <f>IF(F56&gt;1000,IF(F56&gt;computation!J47,"Yes","No"),"No")</f>
        <v>No</v>
      </c>
      <c r="G57" s="404"/>
    </row>
    <row r="58" spans="2:7" ht="15.75">
      <c r="B58" s="137" t="s">
        <v>132</v>
      </c>
      <c r="C58" s="113"/>
      <c r="D58" s="174">
        <f>summ!D74</f>
        <v>0</v>
      </c>
      <c r="E58" s="81"/>
      <c r="F58" s="81"/>
      <c r="G58" s="81"/>
    </row>
    <row r="59" spans="2:7" ht="15.75">
      <c r="B59" s="137" t="s">
        <v>161</v>
      </c>
      <c r="C59" s="113"/>
      <c r="D59" s="174">
        <f>IF(nhood!C40&gt;0,nhood!C40,"")</f>
      </c>
      <c r="E59" s="81"/>
      <c r="F59" s="81"/>
      <c r="G59" s="81"/>
    </row>
    <row r="60" spans="2:7" ht="15.75">
      <c r="B60" s="189" t="s">
        <v>147</v>
      </c>
      <c r="C60" s="951" t="s">
        <v>56</v>
      </c>
      <c r="D60" s="952"/>
      <c r="E60" s="405"/>
      <c r="F60" s="102"/>
      <c r="G60" s="102"/>
    </row>
    <row r="61" spans="2:7" ht="15.75">
      <c r="B61" s="190">
        <f>inputPrYr!D4</f>
        <v>0</v>
      </c>
      <c r="C61" s="953"/>
      <c r="D61" s="954"/>
      <c r="E61" s="406"/>
      <c r="F61" s="102"/>
      <c r="G61" s="102"/>
    </row>
    <row r="62" spans="2:7" ht="15.75">
      <c r="B62" s="93">
        <f>inputPrYr!D6</f>
        <v>0</v>
      </c>
      <c r="C62" s="953"/>
      <c r="D62" s="954"/>
      <c r="E62" s="406"/>
      <c r="F62" s="102"/>
      <c r="G62" s="102"/>
    </row>
    <row r="63" spans="2:7" ht="15.75">
      <c r="B63" s="93">
        <f>inputPrYr!D7</f>
        <v>0</v>
      </c>
      <c r="C63" s="953"/>
      <c r="D63" s="954"/>
      <c r="E63" s="406"/>
      <c r="F63" s="102"/>
      <c r="G63" s="102"/>
    </row>
    <row r="64" spans="2:7" ht="15.75">
      <c r="B64" s="93">
        <f>inputPrYr!D8</f>
        <v>0</v>
      </c>
      <c r="C64" s="956"/>
      <c r="D64" s="957"/>
      <c r="E64" s="406"/>
      <c r="F64" s="102"/>
      <c r="G64" s="102"/>
    </row>
    <row r="65" spans="2:7" ht="15.75">
      <c r="B65" s="190" t="s">
        <v>148</v>
      </c>
      <c r="C65" s="958">
        <f>SUM(C61:D64)</f>
        <v>0</v>
      </c>
      <c r="D65" s="959"/>
      <c r="E65" s="632"/>
      <c r="F65" s="102"/>
      <c r="G65" s="102"/>
    </row>
    <row r="66" spans="2:7" ht="15.75">
      <c r="B66" s="81" t="s">
        <v>255</v>
      </c>
      <c r="C66" s="960" t="str">
        <f>CONCATENATE("Nov 1, ",I1-1," Total Accessed Valuation")</f>
        <v>Nov 1, -1 Total Accessed Valuation</v>
      </c>
      <c r="D66" s="961"/>
      <c r="E66" s="102" t="s">
        <v>865</v>
      </c>
      <c r="F66" s="102"/>
      <c r="G66" s="102"/>
    </row>
    <row r="67" spans="2:7" ht="15.75">
      <c r="B67" s="192"/>
      <c r="C67" s="962"/>
      <c r="D67" s="963"/>
      <c r="E67" s="633"/>
      <c r="F67" s="241"/>
      <c r="G67" s="241"/>
    </row>
    <row r="68" spans="2:7" ht="15.75">
      <c r="B68" s="193"/>
      <c r="C68" s="102"/>
      <c r="D68" s="81"/>
      <c r="E68" s="102" t="s">
        <v>865</v>
      </c>
      <c r="F68" s="241"/>
      <c r="G68" s="241"/>
    </row>
    <row r="69" spans="2:7" ht="15.75">
      <c r="B69" s="101" t="s">
        <v>59</v>
      </c>
      <c r="C69" s="191"/>
      <c r="D69" s="102"/>
      <c r="E69" s="102"/>
      <c r="F69" s="630"/>
      <c r="G69" s="630"/>
    </row>
    <row r="70" spans="2:7" ht="15.75">
      <c r="B70" s="192"/>
      <c r="C70" s="191"/>
      <c r="D70" s="102"/>
      <c r="E70" s="102" t="s">
        <v>865</v>
      </c>
      <c r="F70" s="630"/>
      <c r="G70" s="630"/>
    </row>
    <row r="71" spans="2:7" ht="15.75">
      <c r="B71" s="193"/>
      <c r="C71" s="191"/>
      <c r="D71" s="102"/>
      <c r="E71" s="102"/>
      <c r="F71" s="634"/>
      <c r="G71" s="634"/>
    </row>
    <row r="72" spans="2:7" ht="15.75">
      <c r="B72" s="631" t="s">
        <v>864</v>
      </c>
      <c r="C72" s="194"/>
      <c r="D72" s="102"/>
      <c r="E72" s="102" t="s">
        <v>865</v>
      </c>
      <c r="F72" s="630"/>
      <c r="G72" s="630"/>
    </row>
    <row r="73" spans="2:7" ht="15.75">
      <c r="B73" s="192"/>
      <c r="C73" s="194"/>
      <c r="D73" s="102"/>
      <c r="E73" s="102"/>
      <c r="F73" s="634"/>
      <c r="G73" s="634"/>
    </row>
    <row r="74" spans="2:7" ht="15.75">
      <c r="B74" s="524" t="s">
        <v>150</v>
      </c>
      <c r="C74" s="195">
        <f>I1-1</f>
        <v>-1</v>
      </c>
      <c r="D74" s="102"/>
      <c r="E74" s="102" t="s">
        <v>865</v>
      </c>
      <c r="F74" s="635"/>
      <c r="G74" s="102"/>
    </row>
    <row r="75" spans="2:7" ht="15.75">
      <c r="B75" s="636"/>
      <c r="C75" s="81"/>
      <c r="D75" s="102"/>
      <c r="E75" s="102"/>
      <c r="F75" s="102"/>
      <c r="G75" s="102"/>
    </row>
    <row r="76" spans="2:7" ht="15.75">
      <c r="B76" s="523"/>
      <c r="C76" s="81"/>
      <c r="D76" s="102"/>
      <c r="E76" s="102" t="s">
        <v>865</v>
      </c>
      <c r="F76" s="102"/>
      <c r="G76" s="102"/>
    </row>
    <row r="77" spans="2:7" ht="15.75">
      <c r="B77" s="91" t="s">
        <v>257</v>
      </c>
      <c r="C77" s="81"/>
      <c r="D77" s="634"/>
      <c r="E77" s="955" t="s">
        <v>256</v>
      </c>
      <c r="F77" s="931"/>
      <c r="G77" s="931"/>
    </row>
    <row r="78" ht="15.75">
      <c r="B78" s="65"/>
    </row>
    <row r="84" ht="15.75" hidden="1">
      <c r="C84" s="77" t="e">
        <f>inputOth!#REF!</f>
        <v>#REF!</v>
      </c>
    </row>
    <row r="88" spans="2:7" ht="15">
      <c r="B88" s="121"/>
      <c r="C88" s="121"/>
      <c r="D88" s="121"/>
      <c r="E88" s="121"/>
      <c r="F88" s="121"/>
      <c r="G88" s="121"/>
    </row>
    <row r="89" spans="2:7" ht="15">
      <c r="B89" s="121"/>
      <c r="C89" s="121"/>
      <c r="D89" s="121"/>
      <c r="E89" s="121"/>
      <c r="F89" s="121"/>
      <c r="G89" s="121"/>
    </row>
    <row r="90" spans="2:7" ht="15">
      <c r="B90" s="121"/>
      <c r="C90" s="121"/>
      <c r="D90" s="121"/>
      <c r="E90" s="121"/>
      <c r="F90" s="121"/>
      <c r="G90" s="121"/>
    </row>
    <row r="91" spans="2:7" ht="15">
      <c r="B91" s="121"/>
      <c r="C91" s="121"/>
      <c r="D91" s="121"/>
      <c r="E91" s="121"/>
      <c r="F91" s="121"/>
      <c r="G91" s="121"/>
    </row>
    <row r="92" spans="2:7" ht="15">
      <c r="B92" s="121"/>
      <c r="C92" s="121"/>
      <c r="D92" s="121"/>
      <c r="E92" s="121"/>
      <c r="F92" s="121"/>
      <c r="G92" s="121"/>
    </row>
    <row r="93" spans="2:7" ht="15">
      <c r="B93" s="121"/>
      <c r="C93" s="121"/>
      <c r="D93" s="121"/>
      <c r="E93" s="121"/>
      <c r="F93" s="121"/>
      <c r="G93" s="121"/>
    </row>
    <row r="94" spans="2:7" ht="15">
      <c r="B94" s="121"/>
      <c r="C94" s="121"/>
      <c r="D94" s="121"/>
      <c r="E94" s="121"/>
      <c r="F94" s="121"/>
      <c r="G94" s="121"/>
    </row>
    <row r="95" spans="2:7" ht="15">
      <c r="B95" s="121"/>
      <c r="C95" s="121"/>
      <c r="D95" s="121"/>
      <c r="E95" s="121"/>
      <c r="F95" s="121"/>
      <c r="G95" s="121"/>
    </row>
    <row r="96" spans="2:7" ht="15">
      <c r="B96" s="121"/>
      <c r="C96" s="121"/>
      <c r="D96" s="121"/>
      <c r="E96" s="121"/>
      <c r="F96" s="121"/>
      <c r="G96" s="121"/>
    </row>
    <row r="97" spans="2:7" ht="15">
      <c r="B97" s="121"/>
      <c r="C97" s="121"/>
      <c r="D97" s="121"/>
      <c r="E97" s="121"/>
      <c r="F97" s="121"/>
      <c r="G97" s="121"/>
    </row>
    <row r="98" spans="2:7" ht="15">
      <c r="B98" s="121"/>
      <c r="C98" s="121"/>
      <c r="D98" s="121"/>
      <c r="E98" s="121"/>
      <c r="F98" s="121"/>
      <c r="G98" s="121"/>
    </row>
    <row r="99" spans="2:7" ht="15">
      <c r="B99" s="121"/>
      <c r="C99" s="121"/>
      <c r="D99" s="121"/>
      <c r="E99" s="121"/>
      <c r="F99" s="121"/>
      <c r="G99" s="121"/>
    </row>
    <row r="100" spans="2:7" ht="15">
      <c r="B100" s="121"/>
      <c r="C100" s="121"/>
      <c r="D100" s="121"/>
      <c r="E100" s="121"/>
      <c r="F100" s="121"/>
      <c r="G100" s="121"/>
    </row>
    <row r="101" spans="2:7" ht="15">
      <c r="B101" s="121"/>
      <c r="C101" s="121"/>
      <c r="D101" s="121"/>
      <c r="E101" s="121"/>
      <c r="F101" s="121"/>
      <c r="G101" s="121"/>
    </row>
    <row r="102" spans="2:7" ht="15">
      <c r="B102" s="121"/>
      <c r="C102" s="121"/>
      <c r="D102" s="121"/>
      <c r="E102" s="121"/>
      <c r="F102" s="121"/>
      <c r="G102" s="121"/>
    </row>
    <row r="103" spans="2:7" ht="15">
      <c r="B103" s="121"/>
      <c r="C103" s="121"/>
      <c r="D103" s="121"/>
      <c r="E103" s="121"/>
      <c r="F103" s="121"/>
      <c r="G103" s="121"/>
    </row>
    <row r="106" spans="2:7" ht="15.75">
      <c r="B106" s="65"/>
      <c r="C106" s="65"/>
      <c r="D106" s="65"/>
      <c r="E106" s="65"/>
      <c r="F106" s="65"/>
      <c r="G106" s="65"/>
    </row>
  </sheetData>
  <sheetProtection sheet="1"/>
  <mergeCells count="12">
    <mergeCell ref="E77:G77"/>
    <mergeCell ref="C62:D62"/>
    <mergeCell ref="C63:D63"/>
    <mergeCell ref="C64:D64"/>
    <mergeCell ref="C65:D65"/>
    <mergeCell ref="C66:D67"/>
    <mergeCell ref="B4:G4"/>
    <mergeCell ref="B2:G2"/>
    <mergeCell ref="B5:G5"/>
    <mergeCell ref="B6:G6"/>
    <mergeCell ref="C60:D60"/>
    <mergeCell ref="C61:D61"/>
  </mergeCells>
  <printOptions/>
  <pageMargins left="1.25" right="0.5" top="0.5" bottom="0.5" header="0.25" footer="0.25"/>
  <pageSetup blackAndWhite="1" fitToHeight="1" fitToWidth="1" horizontalDpi="120" verticalDpi="120" orientation="portrait" scale="64"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A40"/>
  <sheetViews>
    <sheetView zoomScalePageLayoutView="0" workbookViewId="0" topLeftCell="A1">
      <selection activeCell="N76" sqref="N76"/>
    </sheetView>
  </sheetViews>
  <sheetFormatPr defaultColWidth="8.796875" defaultRowHeight="15"/>
  <cols>
    <col min="1" max="1" width="71.19921875" style="0" customWidth="1"/>
  </cols>
  <sheetData>
    <row r="1" ht="16.5">
      <c r="A1" s="469" t="s">
        <v>654</v>
      </c>
    </row>
    <row r="3" ht="31.5">
      <c r="A3" s="2" t="s">
        <v>655</v>
      </c>
    </row>
    <row r="4" ht="15.75">
      <c r="A4" s="477" t="s">
        <v>656</v>
      </c>
    </row>
    <row r="7" ht="31.5">
      <c r="A7" s="2" t="s">
        <v>657</v>
      </c>
    </row>
    <row r="8" ht="15.75">
      <c r="A8" s="477" t="s">
        <v>658</v>
      </c>
    </row>
    <row r="11" ht="15.75">
      <c r="A11" s="1" t="s">
        <v>659</v>
      </c>
    </row>
    <row r="12" ht="15.75">
      <c r="A12" s="477" t="s">
        <v>660</v>
      </c>
    </row>
    <row r="15" ht="15.75">
      <c r="A15" s="1" t="s">
        <v>661</v>
      </c>
    </row>
    <row r="16" ht="15.75">
      <c r="A16" s="477" t="s">
        <v>662</v>
      </c>
    </row>
    <row r="19" ht="15.75">
      <c r="A19" s="1" t="s">
        <v>663</v>
      </c>
    </row>
    <row r="20" ht="15.75">
      <c r="A20" s="477" t="s">
        <v>664</v>
      </c>
    </row>
    <row r="23" ht="15.75">
      <c r="A23" s="1" t="s">
        <v>665</v>
      </c>
    </row>
    <row r="24" ht="15.75">
      <c r="A24" s="477" t="s">
        <v>666</v>
      </c>
    </row>
    <row r="27" ht="15.75">
      <c r="A27" s="1" t="s">
        <v>667</v>
      </c>
    </row>
    <row r="28" ht="15.75">
      <c r="A28" s="477" t="s">
        <v>668</v>
      </c>
    </row>
    <row r="31" ht="15.75">
      <c r="A31" s="1" t="s">
        <v>669</v>
      </c>
    </row>
    <row r="32" ht="15.75">
      <c r="A32" s="477" t="s">
        <v>670</v>
      </c>
    </row>
    <row r="35" ht="15.75">
      <c r="A35" s="1" t="s">
        <v>671</v>
      </c>
    </row>
    <row r="36" ht="15.75">
      <c r="A36" s="477" t="s">
        <v>672</v>
      </c>
    </row>
    <row r="39" ht="15.75">
      <c r="A39" s="1" t="s">
        <v>673</v>
      </c>
    </row>
    <row r="40" ht="15.75">
      <c r="A40" s="477" t="s">
        <v>674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252"/>
  <sheetViews>
    <sheetView zoomScalePageLayoutView="0" workbookViewId="0" topLeftCell="A1">
      <selection activeCell="L127" sqref="L127"/>
    </sheetView>
  </sheetViews>
  <sheetFormatPr defaultColWidth="8.796875" defaultRowHeight="15"/>
  <cols>
    <col min="1" max="1" width="83.3984375" style="1" customWidth="1"/>
    <col min="2" max="16384" width="8.8984375" style="1" customWidth="1"/>
  </cols>
  <sheetData>
    <row r="1" ht="15.75">
      <c r="A1" s="61" t="s">
        <v>1044</v>
      </c>
    </row>
    <row r="2" ht="15.75">
      <c r="A2" s="502" t="s">
        <v>1043</v>
      </c>
    </row>
    <row r="4" ht="15.75">
      <c r="A4" s="61" t="s">
        <v>1032</v>
      </c>
    </row>
    <row r="5" ht="15.75">
      <c r="A5" s="1" t="s">
        <v>1045</v>
      </c>
    </row>
    <row r="6" ht="15.75">
      <c r="A6" s="1" t="s">
        <v>1046</v>
      </c>
    </row>
    <row r="7" ht="15.75">
      <c r="A7" s="1" t="s">
        <v>1047</v>
      </c>
    </row>
    <row r="8" ht="15.75">
      <c r="A8" s="1" t="s">
        <v>1048</v>
      </c>
    </row>
    <row r="9" ht="15.75">
      <c r="A9" s="1" t="s">
        <v>1049</v>
      </c>
    </row>
    <row r="10" ht="15.75">
      <c r="A10" s="502" t="s">
        <v>1050</v>
      </c>
    </row>
    <row r="12" ht="15.75">
      <c r="A12" s="514" t="s">
        <v>1030</v>
      </c>
    </row>
    <row r="13" ht="15.75">
      <c r="A13" s="65" t="s">
        <v>1031</v>
      </c>
    </row>
    <row r="15" ht="15.75">
      <c r="A15" s="514" t="s">
        <v>1027</v>
      </c>
    </row>
    <row r="16" ht="15.75">
      <c r="A16" s="798" t="s">
        <v>1028</v>
      </c>
    </row>
    <row r="17" ht="15.75">
      <c r="A17" s="65" t="s">
        <v>1029</v>
      </c>
    </row>
    <row r="19" ht="15.75">
      <c r="A19" s="514" t="s">
        <v>1026</v>
      </c>
    </row>
    <row r="20" ht="15.75">
      <c r="A20" s="798" t="s">
        <v>1025</v>
      </c>
    </row>
    <row r="22" ht="15.75">
      <c r="A22" s="61" t="s">
        <v>1010</v>
      </c>
    </row>
    <row r="23" ht="15.75">
      <c r="A23" s="1" t="s">
        <v>1011</v>
      </c>
    </row>
    <row r="25" ht="15.75">
      <c r="A25" s="514" t="s">
        <v>997</v>
      </c>
    </row>
    <row r="26" ht="15.75">
      <c r="A26" s="798" t="s">
        <v>996</v>
      </c>
    </row>
    <row r="28" ht="15.75">
      <c r="A28" s="514" t="s">
        <v>993</v>
      </c>
    </row>
    <row r="29" ht="15.75">
      <c r="A29" s="798" t="s">
        <v>994</v>
      </c>
    </row>
    <row r="31" ht="15.75">
      <c r="A31" s="514" t="s">
        <v>975</v>
      </c>
    </row>
    <row r="32" ht="15.75">
      <c r="A32" s="794" t="s">
        <v>974</v>
      </c>
    </row>
    <row r="34" ht="15.75">
      <c r="A34" s="514" t="s">
        <v>976</v>
      </c>
    </row>
    <row r="35" ht="15.75">
      <c r="A35" s="747" t="s">
        <v>948</v>
      </c>
    </row>
    <row r="37" ht="15.75">
      <c r="A37" s="514" t="s">
        <v>977</v>
      </c>
    </row>
    <row r="38" ht="15.75">
      <c r="A38" s="65" t="s">
        <v>947</v>
      </c>
    </row>
    <row r="40" ht="15.75">
      <c r="A40" s="514" t="s">
        <v>978</v>
      </c>
    </row>
    <row r="41" ht="15.75">
      <c r="A41" s="65" t="s">
        <v>945</v>
      </c>
    </row>
    <row r="43" ht="15.75">
      <c r="A43" s="514" t="s">
        <v>979</v>
      </c>
    </row>
    <row r="44" ht="15.75">
      <c r="A44" s="727" t="s">
        <v>944</v>
      </c>
    </row>
    <row r="46" ht="15.75">
      <c r="A46" s="514" t="s">
        <v>980</v>
      </c>
    </row>
    <row r="47" ht="15.75">
      <c r="A47" s="65" t="s">
        <v>943</v>
      </c>
    </row>
    <row r="49" ht="15.75">
      <c r="A49" s="514" t="s">
        <v>981</v>
      </c>
    </row>
    <row r="50" ht="15.75">
      <c r="A50" s="739" t="s">
        <v>942</v>
      </c>
    </row>
    <row r="52" ht="15.75">
      <c r="A52" s="514" t="s">
        <v>982</v>
      </c>
    </row>
    <row r="53" ht="15.75">
      <c r="A53" s="1" t="s">
        <v>941</v>
      </c>
    </row>
    <row r="55" ht="15.75">
      <c r="A55" s="514" t="s">
        <v>983</v>
      </c>
    </row>
    <row r="56" ht="15.75">
      <c r="A56" s="727" t="s">
        <v>869</v>
      </c>
    </row>
    <row r="57" ht="15.75">
      <c r="A57" s="65" t="s">
        <v>870</v>
      </c>
    </row>
    <row r="58" ht="15.75">
      <c r="A58" s="65" t="s">
        <v>871</v>
      </c>
    </row>
    <row r="59" ht="15.75">
      <c r="A59" s="65" t="s">
        <v>872</v>
      </c>
    </row>
    <row r="60" ht="15.75">
      <c r="A60" s="65" t="s">
        <v>873</v>
      </c>
    </row>
    <row r="61" ht="15.75">
      <c r="A61" s="65" t="s">
        <v>874</v>
      </c>
    </row>
    <row r="62" ht="15.75">
      <c r="A62" s="65" t="s">
        <v>875</v>
      </c>
    </row>
    <row r="63" ht="15.75">
      <c r="A63" s="65" t="s">
        <v>876</v>
      </c>
    </row>
    <row r="64" ht="15.75">
      <c r="A64" s="65" t="s">
        <v>877</v>
      </c>
    </row>
    <row r="65" ht="15.75">
      <c r="A65" s="65" t="s">
        <v>878</v>
      </c>
    </row>
    <row r="66" ht="15.75">
      <c r="A66" s="65" t="s">
        <v>879</v>
      </c>
    </row>
    <row r="67" ht="15.75">
      <c r="A67" s="65" t="s">
        <v>880</v>
      </c>
    </row>
    <row r="68" ht="15.75">
      <c r="A68" s="65" t="s">
        <v>881</v>
      </c>
    </row>
    <row r="69" ht="15.75">
      <c r="A69" s="65" t="s">
        <v>882</v>
      </c>
    </row>
    <row r="70" ht="15.75">
      <c r="A70" s="65" t="s">
        <v>883</v>
      </c>
    </row>
    <row r="71" ht="15.75">
      <c r="A71" s="65" t="s">
        <v>884</v>
      </c>
    </row>
    <row r="72" ht="47.25">
      <c r="A72" s="67" t="s">
        <v>885</v>
      </c>
    </row>
    <row r="73" ht="15.75">
      <c r="A73" s="66" t="s">
        <v>886</v>
      </c>
    </row>
    <row r="74" ht="31.5">
      <c r="A74" s="67" t="s">
        <v>887</v>
      </c>
    </row>
    <row r="75" ht="15.75">
      <c r="A75" s="65" t="s">
        <v>888</v>
      </c>
    </row>
    <row r="76" ht="15.75">
      <c r="A76" s="65" t="s">
        <v>889</v>
      </c>
    </row>
    <row r="77" ht="15.75">
      <c r="A77" s="65" t="s">
        <v>890</v>
      </c>
    </row>
    <row r="78" ht="15.75">
      <c r="A78" s="65" t="s">
        <v>891</v>
      </c>
    </row>
    <row r="79" ht="15.75">
      <c r="A79" s="65" t="s">
        <v>892</v>
      </c>
    </row>
    <row r="80" ht="15.75">
      <c r="A80" s="65" t="s">
        <v>893</v>
      </c>
    </row>
    <row r="81" ht="15.75">
      <c r="A81" s="65" t="s">
        <v>894</v>
      </c>
    </row>
    <row r="82" ht="15.75">
      <c r="A82" s="65" t="s">
        <v>895</v>
      </c>
    </row>
    <row r="83" ht="15.75">
      <c r="A83" s="65" t="s">
        <v>896</v>
      </c>
    </row>
    <row r="84" ht="15.75">
      <c r="A84" s="65" t="s">
        <v>897</v>
      </c>
    </row>
    <row r="85" ht="15.75">
      <c r="A85" s="65" t="s">
        <v>898</v>
      </c>
    </row>
    <row r="86" ht="15.75">
      <c r="A86" s="65" t="s">
        <v>899</v>
      </c>
    </row>
    <row r="87" ht="15.75">
      <c r="A87" s="65" t="s">
        <v>900</v>
      </c>
    </row>
    <row r="88" ht="15.75">
      <c r="A88" s="65" t="s">
        <v>901</v>
      </c>
    </row>
    <row r="89" ht="15.75">
      <c r="A89" s="65" t="s">
        <v>902</v>
      </c>
    </row>
    <row r="90" ht="15.75">
      <c r="A90" s="65" t="s">
        <v>903</v>
      </c>
    </row>
    <row r="92" ht="15.75">
      <c r="A92" s="514" t="s">
        <v>984</v>
      </c>
    </row>
    <row r="93" ht="15.75">
      <c r="A93" s="515" t="s">
        <v>780</v>
      </c>
    </row>
    <row r="95" ht="15.75">
      <c r="A95" s="514" t="s">
        <v>985</v>
      </c>
    </row>
    <row r="96" ht="15.75">
      <c r="A96" s="1" t="s">
        <v>779</v>
      </c>
    </row>
    <row r="98" ht="15.75">
      <c r="A98" s="514" t="s">
        <v>986</v>
      </c>
    </row>
    <row r="99" ht="15.75">
      <c r="A99" s="515" t="s">
        <v>735</v>
      </c>
    </row>
    <row r="100" ht="15.75">
      <c r="A100" s="515" t="s">
        <v>736</v>
      </c>
    </row>
    <row r="101" ht="31.5">
      <c r="A101" s="509" t="s">
        <v>737</v>
      </c>
    </row>
    <row r="102" ht="15.75">
      <c r="A102" s="515" t="s">
        <v>739</v>
      </c>
    </row>
    <row r="103" ht="15.75">
      <c r="A103" s="515" t="s">
        <v>740</v>
      </c>
    </row>
    <row r="104" ht="15.75">
      <c r="A104" s="515" t="s">
        <v>741</v>
      </c>
    </row>
    <row r="105" ht="15.75">
      <c r="A105" s="515" t="s">
        <v>742</v>
      </c>
    </row>
    <row r="106" ht="15.75">
      <c r="A106" s="515" t="s">
        <v>743</v>
      </c>
    </row>
    <row r="107" ht="15.75">
      <c r="A107" s="515" t="s">
        <v>744</v>
      </c>
    </row>
    <row r="108" ht="15.75">
      <c r="A108" s="515" t="s">
        <v>745</v>
      </c>
    </row>
    <row r="109" ht="15.75">
      <c r="A109" s="515" t="s">
        <v>746</v>
      </c>
    </row>
    <row r="110" ht="15.75">
      <c r="A110" s="515" t="s">
        <v>747</v>
      </c>
    </row>
    <row r="111" ht="15.75">
      <c r="A111" s="515" t="s">
        <v>748</v>
      </c>
    </row>
    <row r="112" ht="15.75">
      <c r="A112" s="515" t="s">
        <v>749</v>
      </c>
    </row>
    <row r="113" ht="15.75">
      <c r="A113" s="515" t="s">
        <v>750</v>
      </c>
    </row>
    <row r="114" ht="15.75">
      <c r="A114" s="515" t="s">
        <v>751</v>
      </c>
    </row>
    <row r="115" ht="15.75">
      <c r="A115" s="515" t="s">
        <v>752</v>
      </c>
    </row>
    <row r="116" ht="15.75">
      <c r="A116" s="515" t="s">
        <v>753</v>
      </c>
    </row>
    <row r="117" ht="15.75">
      <c r="A117" s="515" t="s">
        <v>754</v>
      </c>
    </row>
    <row r="118" ht="15.75">
      <c r="A118" s="515" t="s">
        <v>755</v>
      </c>
    </row>
    <row r="119" ht="15.75">
      <c r="A119" s="515" t="s">
        <v>756</v>
      </c>
    </row>
    <row r="120" ht="15.75">
      <c r="A120" s="515" t="s">
        <v>757</v>
      </c>
    </row>
    <row r="121" ht="15.75">
      <c r="A121" s="515" t="s">
        <v>758</v>
      </c>
    </row>
    <row r="122" ht="15.75">
      <c r="A122" s="515" t="s">
        <v>759</v>
      </c>
    </row>
    <row r="123" ht="15.75">
      <c r="A123" s="515" t="s">
        <v>760</v>
      </c>
    </row>
    <row r="124" ht="15.75">
      <c r="A124" s="515" t="s">
        <v>761</v>
      </c>
    </row>
    <row r="125" ht="15.75">
      <c r="A125" s="515" t="s">
        <v>762</v>
      </c>
    </row>
    <row r="126" ht="15.75">
      <c r="A126" s="515" t="s">
        <v>763</v>
      </c>
    </row>
    <row r="127" ht="15.75">
      <c r="A127" s="515" t="s">
        <v>764</v>
      </c>
    </row>
    <row r="128" ht="15.75">
      <c r="A128" s="515" t="s">
        <v>765</v>
      </c>
    </row>
    <row r="129" ht="15.75">
      <c r="A129" s="515" t="s">
        <v>766</v>
      </c>
    </row>
    <row r="130" ht="15.75">
      <c r="A130" s="515" t="s">
        <v>767</v>
      </c>
    </row>
    <row r="131" ht="15.75">
      <c r="A131" s="516" t="s">
        <v>768</v>
      </c>
    </row>
    <row r="132" ht="15.75">
      <c r="A132" s="516" t="s">
        <v>769</v>
      </c>
    </row>
    <row r="134" ht="15.75">
      <c r="A134" s="381" t="s">
        <v>987</v>
      </c>
    </row>
    <row r="135" ht="15.75">
      <c r="A135" s="1" t="s">
        <v>633</v>
      </c>
    </row>
    <row r="136" ht="15.75">
      <c r="A136" s="1" t="s">
        <v>634</v>
      </c>
    </row>
    <row r="138" ht="15.75">
      <c r="A138" s="381" t="s">
        <v>988</v>
      </c>
    </row>
    <row r="139" ht="15.75">
      <c r="A139" s="65" t="s">
        <v>629</v>
      </c>
    </row>
    <row r="140" ht="15.75">
      <c r="A140" s="65" t="s">
        <v>630</v>
      </c>
    </row>
    <row r="141" ht="15.75">
      <c r="A141" s="65" t="s">
        <v>631</v>
      </c>
    </row>
    <row r="143" ht="15.75">
      <c r="A143" s="381" t="s">
        <v>989</v>
      </c>
    </row>
    <row r="144" ht="15.75">
      <c r="A144" s="65" t="s">
        <v>628</v>
      </c>
    </row>
    <row r="146" ht="15.75">
      <c r="A146" s="381" t="s">
        <v>990</v>
      </c>
    </row>
    <row r="147" ht="15.75">
      <c r="A147" s="380" t="s">
        <v>606</v>
      </c>
    </row>
    <row r="148" ht="15.75">
      <c r="A148" s="380" t="s">
        <v>607</v>
      </c>
    </row>
    <row r="149" ht="15.75">
      <c r="A149" s="380" t="s">
        <v>608</v>
      </c>
    </row>
    <row r="150" ht="15.75">
      <c r="A150" s="65" t="s">
        <v>617</v>
      </c>
    </row>
    <row r="152" ht="15.75">
      <c r="A152" s="61" t="s">
        <v>991</v>
      </c>
    </row>
    <row r="153" ht="15.75">
      <c r="A153" s="361" t="s">
        <v>380</v>
      </c>
    </row>
    <row r="154" ht="21.75" customHeight="1">
      <c r="A154" s="360" t="s">
        <v>381</v>
      </c>
    </row>
    <row r="155" ht="15.75">
      <c r="A155" s="360" t="s">
        <v>382</v>
      </c>
    </row>
    <row r="156" ht="18" customHeight="1">
      <c r="A156" s="793" t="s">
        <v>383</v>
      </c>
    </row>
    <row r="157" ht="15.75">
      <c r="A157" s="360" t="s">
        <v>384</v>
      </c>
    </row>
    <row r="158" ht="15.75">
      <c r="A158" s="360" t="s">
        <v>385</v>
      </c>
    </row>
    <row r="159" ht="15.75">
      <c r="A159" s="360" t="s">
        <v>386</v>
      </c>
    </row>
    <row r="160" ht="15.75">
      <c r="A160" s="360" t="s">
        <v>387</v>
      </c>
    </row>
    <row r="161" ht="15.75">
      <c r="A161" s="362" t="s">
        <v>388</v>
      </c>
    </row>
    <row r="162" ht="15.75">
      <c r="A162" s="363" t="s">
        <v>389</v>
      </c>
    </row>
    <row r="164" ht="15.75">
      <c r="A164" s="61" t="s">
        <v>992</v>
      </c>
    </row>
    <row r="165" ht="31.5">
      <c r="A165" s="2" t="s">
        <v>331</v>
      </c>
    </row>
    <row r="167" ht="15.75">
      <c r="A167" s="61" t="s">
        <v>328</v>
      </c>
    </row>
    <row r="168" ht="15.75">
      <c r="A168" s="1" t="s">
        <v>329</v>
      </c>
    </row>
    <row r="169" ht="15.75">
      <c r="A169" s="1" t="s">
        <v>330</v>
      </c>
    </row>
    <row r="171" ht="15.75">
      <c r="A171" s="61" t="s">
        <v>220</v>
      </c>
    </row>
    <row r="172" ht="15.75">
      <c r="A172" s="1" t="s">
        <v>202</v>
      </c>
    </row>
    <row r="173" ht="15.75">
      <c r="A173" s="1" t="s">
        <v>203</v>
      </c>
    </row>
    <row r="174" ht="15.75">
      <c r="A174" s="1" t="s">
        <v>204</v>
      </c>
    </row>
    <row r="175" ht="15.75">
      <c r="A175" s="1" t="s">
        <v>205</v>
      </c>
    </row>
    <row r="176" ht="15.75">
      <c r="A176" s="1" t="s">
        <v>206</v>
      </c>
    </row>
    <row r="177" ht="15.75">
      <c r="A177" s="1" t="s">
        <v>207</v>
      </c>
    </row>
    <row r="178" ht="31.5">
      <c r="A178" s="2" t="s">
        <v>208</v>
      </c>
    </row>
    <row r="179" ht="31.5">
      <c r="A179" s="2" t="s">
        <v>209</v>
      </c>
    </row>
    <row r="180" ht="15.75">
      <c r="A180" s="2" t="s">
        <v>210</v>
      </c>
    </row>
    <row r="181" ht="15.75">
      <c r="A181" s="2" t="s">
        <v>211</v>
      </c>
    </row>
    <row r="182" ht="31.5">
      <c r="A182" s="2" t="s">
        <v>212</v>
      </c>
    </row>
    <row r="183" ht="15.75">
      <c r="A183" s="1" t="s">
        <v>213</v>
      </c>
    </row>
    <row r="184" ht="31.5">
      <c r="A184" s="2" t="s">
        <v>214</v>
      </c>
    </row>
    <row r="185" ht="15.75">
      <c r="A185" s="1" t="s">
        <v>215</v>
      </c>
    </row>
    <row r="186" ht="15.75">
      <c r="A186" s="1" t="s">
        <v>216</v>
      </c>
    </row>
    <row r="187" ht="15.75">
      <c r="A187" s="1" t="s">
        <v>217</v>
      </c>
    </row>
    <row r="188" ht="31.5">
      <c r="A188" s="2" t="s">
        <v>218</v>
      </c>
    </row>
    <row r="189" ht="15.75">
      <c r="A189" s="1" t="s">
        <v>219</v>
      </c>
    </row>
    <row r="192" ht="15.75">
      <c r="A192" s="61" t="s">
        <v>197</v>
      </c>
    </row>
    <row r="193" ht="15.75">
      <c r="A193" s="1" t="s">
        <v>198</v>
      </c>
    </row>
    <row r="195" ht="15.75">
      <c r="A195" s="61" t="s">
        <v>223</v>
      </c>
    </row>
    <row r="196" ht="15.75">
      <c r="A196" s="1" t="s">
        <v>224</v>
      </c>
    </row>
    <row r="197" ht="15.75">
      <c r="A197" s="1" t="s">
        <v>225</v>
      </c>
    </row>
    <row r="198" ht="15.75">
      <c r="A198" s="1" t="s">
        <v>226</v>
      </c>
    </row>
    <row r="199" ht="15.75">
      <c r="A199" s="1" t="s">
        <v>227</v>
      </c>
    </row>
    <row r="201" ht="15.75">
      <c r="A201" s="61" t="s">
        <v>195</v>
      </c>
    </row>
    <row r="202" ht="15.75">
      <c r="A202" s="1" t="s">
        <v>196</v>
      </c>
    </row>
    <row r="204" ht="15.75">
      <c r="A204" s="61" t="s">
        <v>188</v>
      </c>
    </row>
    <row r="205" ht="15.75">
      <c r="A205" s="1" t="s">
        <v>189</v>
      </c>
    </row>
    <row r="206" ht="15.75">
      <c r="A206" s="1" t="s">
        <v>190</v>
      </c>
    </row>
    <row r="207" ht="31.5">
      <c r="A207" s="2" t="s">
        <v>191</v>
      </c>
    </row>
    <row r="208" ht="15.75">
      <c r="A208" s="1" t="s">
        <v>192</v>
      </c>
    </row>
    <row r="209" ht="15.75">
      <c r="A209" s="1" t="s">
        <v>193</v>
      </c>
    </row>
    <row r="210" ht="15.75">
      <c r="A210" s="1" t="s">
        <v>194</v>
      </c>
    </row>
    <row r="211" ht="18" customHeight="1"/>
    <row r="212" ht="48.75" customHeight="1"/>
    <row r="213" ht="15.75">
      <c r="A213" s="61" t="s">
        <v>109</v>
      </c>
    </row>
    <row r="214" ht="47.25">
      <c r="A214" s="2" t="s">
        <v>136</v>
      </c>
    </row>
    <row r="215" ht="15.75">
      <c r="A215" s="1" t="s">
        <v>110</v>
      </c>
    </row>
    <row r="216" ht="15.75">
      <c r="A216" s="1" t="s">
        <v>111</v>
      </c>
    </row>
    <row r="217" ht="15.75">
      <c r="A217" s="1" t="s">
        <v>137</v>
      </c>
    </row>
    <row r="218" ht="15.75">
      <c r="A218" s="1" t="s">
        <v>112</v>
      </c>
    </row>
    <row r="219" ht="15.75">
      <c r="A219" s="1" t="s">
        <v>113</v>
      </c>
    </row>
    <row r="220" ht="15.75">
      <c r="A220" s="1" t="s">
        <v>230</v>
      </c>
    </row>
    <row r="221" ht="15.75">
      <c r="A221" s="1" t="s">
        <v>114</v>
      </c>
    </row>
    <row r="222" ht="15.75">
      <c r="A222" s="1" t="s">
        <v>115</v>
      </c>
    </row>
    <row r="223" ht="31.5">
      <c r="A223" s="2" t="s">
        <v>116</v>
      </c>
    </row>
    <row r="224" ht="31.5">
      <c r="A224" s="2" t="s">
        <v>231</v>
      </c>
    </row>
    <row r="225" ht="15.75">
      <c r="A225" s="1" t="s">
        <v>117</v>
      </c>
    </row>
    <row r="226" ht="15.75">
      <c r="A226" s="1" t="s">
        <v>118</v>
      </c>
    </row>
    <row r="227" ht="15.75">
      <c r="A227" s="1" t="s">
        <v>138</v>
      </c>
    </row>
    <row r="228" ht="15.75">
      <c r="A228" s="1" t="s">
        <v>119</v>
      </c>
    </row>
    <row r="229" ht="15.75">
      <c r="A229" s="1" t="s">
        <v>139</v>
      </c>
    </row>
    <row r="230" ht="31.5">
      <c r="A230" s="2" t="s">
        <v>140</v>
      </c>
    </row>
    <row r="231" ht="15.75">
      <c r="A231" s="1" t="s">
        <v>127</v>
      </c>
    </row>
    <row r="232" ht="15.75">
      <c r="A232" s="1" t="s">
        <v>128</v>
      </c>
    </row>
    <row r="233" ht="31.5">
      <c r="A233" s="2" t="s">
        <v>129</v>
      </c>
    </row>
    <row r="234" ht="15.75">
      <c r="A234" s="1" t="s">
        <v>174</v>
      </c>
    </row>
    <row r="235" ht="15.75">
      <c r="A235" s="1" t="s">
        <v>175</v>
      </c>
    </row>
    <row r="236" ht="15.75">
      <c r="A236" s="1" t="s">
        <v>177</v>
      </c>
    </row>
    <row r="237" ht="15.75">
      <c r="A237" s="1" t="s">
        <v>178</v>
      </c>
    </row>
    <row r="238" ht="15.75">
      <c r="A238" s="1" t="s">
        <v>179</v>
      </c>
    </row>
    <row r="239" ht="15.75">
      <c r="A239" s="1" t="s">
        <v>180</v>
      </c>
    </row>
    <row r="240" ht="15.75">
      <c r="A240" s="1" t="s">
        <v>181</v>
      </c>
    </row>
    <row r="241" ht="15.75">
      <c r="A241" s="1" t="s">
        <v>182</v>
      </c>
    </row>
    <row r="242" ht="15.75">
      <c r="A242" s="1" t="s">
        <v>183</v>
      </c>
    </row>
    <row r="243" ht="15.75">
      <c r="A243" s="1" t="s">
        <v>184</v>
      </c>
    </row>
    <row r="244" ht="15.75">
      <c r="A244" s="1" t="s">
        <v>185</v>
      </c>
    </row>
    <row r="245" ht="15.75">
      <c r="A245" s="1" t="s">
        <v>186</v>
      </c>
    </row>
    <row r="246" ht="15.75">
      <c r="A246" s="1" t="s">
        <v>232</v>
      </c>
    </row>
    <row r="247" ht="15.75">
      <c r="A247" s="1" t="s">
        <v>233</v>
      </c>
    </row>
    <row r="248" ht="15.75">
      <c r="A248" s="1" t="s">
        <v>234</v>
      </c>
    </row>
    <row r="249" ht="15.75">
      <c r="A249" s="1" t="s">
        <v>235</v>
      </c>
    </row>
    <row r="250" ht="15.75">
      <c r="A250" s="1" t="s">
        <v>169</v>
      </c>
    </row>
    <row r="251" ht="15.75">
      <c r="A251" s="1" t="s">
        <v>187</v>
      </c>
    </row>
    <row r="252" ht="15.75">
      <c r="A252" s="1" t="s">
        <v>171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F43" sqref="AF43"/>
    </sheetView>
  </sheetViews>
  <sheetFormatPr defaultColWidth="8.796875" defaultRowHeight="15.75" customHeight="1"/>
  <cols>
    <col min="1" max="2" width="3.296875" style="65" customWidth="1"/>
    <col min="3" max="3" width="31.296875" style="65" customWidth="1"/>
    <col min="4" max="4" width="2.296875" style="65" customWidth="1"/>
    <col min="5" max="5" width="15.796875" style="65" customWidth="1"/>
    <col min="6" max="6" width="2" style="65" customWidth="1"/>
    <col min="7" max="7" width="15.796875" style="65" customWidth="1"/>
    <col min="8" max="8" width="1.8984375" style="65" customWidth="1"/>
    <col min="9" max="9" width="1.796875" style="65" customWidth="1"/>
    <col min="10" max="10" width="15.796875" style="65" customWidth="1"/>
    <col min="11" max="16384" width="8.8984375" style="65" customWidth="1"/>
  </cols>
  <sheetData>
    <row r="1" spans="1:10" ht="15.75" customHeight="1">
      <c r="A1" s="123"/>
      <c r="B1" s="123"/>
      <c r="C1" s="122">
        <f>inputPrYr!D3</f>
        <v>0</v>
      </c>
      <c r="D1" s="123"/>
      <c r="E1" s="123"/>
      <c r="F1" s="123"/>
      <c r="G1" s="123"/>
      <c r="H1" s="123"/>
      <c r="I1" s="123"/>
      <c r="J1" s="123">
        <f>inputPrYr!C10</f>
        <v>0</v>
      </c>
    </row>
    <row r="2" spans="1:10" ht="15.75" customHeight="1">
      <c r="A2" s="123"/>
      <c r="B2" s="123"/>
      <c r="C2" s="123"/>
      <c r="D2" s="123"/>
      <c r="E2" s="123"/>
      <c r="F2" s="123"/>
      <c r="G2" s="123"/>
      <c r="H2" s="123"/>
      <c r="I2" s="123"/>
      <c r="J2" s="123"/>
    </row>
    <row r="3" spans="1:10" ht="15.75">
      <c r="A3" s="965" t="str">
        <f>CONCATENATE("Computation to Determine Limit for ",J1,"")</f>
        <v>Computation to Determine Limit for 0</v>
      </c>
      <c r="B3" s="966"/>
      <c r="C3" s="966"/>
      <c r="D3" s="966"/>
      <c r="E3" s="966"/>
      <c r="F3" s="966"/>
      <c r="G3" s="966"/>
      <c r="H3" s="966"/>
      <c r="I3" s="966"/>
      <c r="J3" s="966"/>
    </row>
    <row r="4" spans="1:10" ht="15.75">
      <c r="A4" s="123"/>
      <c r="B4" s="123"/>
      <c r="C4" s="123"/>
      <c r="D4" s="123"/>
      <c r="E4" s="966"/>
      <c r="F4" s="966"/>
      <c r="G4" s="966"/>
      <c r="H4" s="196"/>
      <c r="I4" s="123"/>
      <c r="J4" s="197" t="s">
        <v>13</v>
      </c>
    </row>
    <row r="5" spans="1:10" ht="15.75">
      <c r="A5" s="198" t="s">
        <v>14</v>
      </c>
      <c r="B5" s="123" t="str">
        <f>CONCATENATE("Total tax levy amount in ",J1-1," budget")</f>
        <v>Total tax levy amount in -1 budget</v>
      </c>
      <c r="C5" s="123"/>
      <c r="D5" s="123"/>
      <c r="E5" s="199"/>
      <c r="F5" s="199"/>
      <c r="G5" s="199"/>
      <c r="H5" s="200" t="s">
        <v>15</v>
      </c>
      <c r="I5" s="199" t="s">
        <v>16</v>
      </c>
      <c r="J5" s="201">
        <f>inputPrYr!E36</f>
        <v>0</v>
      </c>
    </row>
    <row r="6" spans="1:10" ht="15.75">
      <c r="A6" s="198" t="s">
        <v>17</v>
      </c>
      <c r="B6" s="123" t="str">
        <f>CONCATENATE("Debt service levy in ",J1-1," budget")</f>
        <v>Debt service levy in -1 budget</v>
      </c>
      <c r="C6" s="123"/>
      <c r="D6" s="123"/>
      <c r="E6" s="199"/>
      <c r="F6" s="199"/>
      <c r="G6" s="199"/>
      <c r="H6" s="200" t="s">
        <v>18</v>
      </c>
      <c r="I6" s="199" t="s">
        <v>16</v>
      </c>
      <c r="J6" s="202">
        <f>inputPrYr!E23</f>
        <v>0</v>
      </c>
    </row>
    <row r="7" spans="1:10" ht="15.75">
      <c r="A7" s="198" t="s">
        <v>42</v>
      </c>
      <c r="B7" s="123" t="s">
        <v>958</v>
      </c>
      <c r="C7" s="123"/>
      <c r="D7" s="123"/>
      <c r="E7" s="199"/>
      <c r="F7" s="199"/>
      <c r="G7" s="199"/>
      <c r="H7" s="199"/>
      <c r="I7" s="199" t="s">
        <v>16</v>
      </c>
      <c r="J7" s="203">
        <f>J5-J6</f>
        <v>0</v>
      </c>
    </row>
    <row r="8" spans="1:10" ht="15.75">
      <c r="A8" s="123"/>
      <c r="B8" s="123"/>
      <c r="C8" s="123"/>
      <c r="D8" s="123"/>
      <c r="E8" s="199"/>
      <c r="F8" s="199"/>
      <c r="G8" s="199"/>
      <c r="H8" s="199"/>
      <c r="I8" s="199"/>
      <c r="J8" s="199"/>
    </row>
    <row r="9" spans="1:10" ht="15.75">
      <c r="A9" s="966" t="str">
        <f>CONCATENATE("",J1-1," Valuation Information for Valuation Adjustments")</f>
        <v>-1 Valuation Information for Valuation Adjustments</v>
      </c>
      <c r="B9" s="904"/>
      <c r="C9" s="904"/>
      <c r="D9" s="904"/>
      <c r="E9" s="904"/>
      <c r="F9" s="904"/>
      <c r="G9" s="904"/>
      <c r="H9" s="904"/>
      <c r="I9" s="904"/>
      <c r="J9" s="904"/>
    </row>
    <row r="10" spans="1:10" ht="15.75">
      <c r="A10" s="123"/>
      <c r="B10" s="123"/>
      <c r="C10" s="123"/>
      <c r="D10" s="123"/>
      <c r="E10" s="199"/>
      <c r="F10" s="199"/>
      <c r="G10" s="199"/>
      <c r="H10" s="199"/>
      <c r="I10" s="199"/>
      <c r="J10" s="199"/>
    </row>
    <row r="11" spans="1:10" ht="15.75">
      <c r="A11" s="198" t="s">
        <v>19</v>
      </c>
      <c r="B11" s="123" t="str">
        <f>CONCATENATE("New improvements for ",J1-1,":")</f>
        <v>New improvements for -1:</v>
      </c>
      <c r="C11" s="123"/>
      <c r="D11" s="123"/>
      <c r="E11" s="200"/>
      <c r="F11" s="200" t="s">
        <v>15</v>
      </c>
      <c r="G11" s="139">
        <f>inputOth!C14</f>
        <v>0</v>
      </c>
      <c r="H11" s="757"/>
      <c r="I11" s="199"/>
      <c r="J11" s="199"/>
    </row>
    <row r="12" spans="1:10" ht="15.75">
      <c r="A12" s="198"/>
      <c r="B12" s="758"/>
      <c r="C12" s="123"/>
      <c r="D12" s="123"/>
      <c r="E12" s="200"/>
      <c r="F12" s="200"/>
      <c r="G12" s="757"/>
      <c r="H12" s="757"/>
      <c r="I12" s="199"/>
      <c r="J12" s="199"/>
    </row>
    <row r="13" spans="1:10" ht="15.75">
      <c r="A13" s="198" t="s">
        <v>20</v>
      </c>
      <c r="B13" s="123" t="str">
        <f>CONCATENATE("Increase in personal property for ",J1-1,":")</f>
        <v>Increase in personal property for -1:</v>
      </c>
      <c r="C13" s="123"/>
      <c r="D13" s="123"/>
      <c r="E13" s="200"/>
      <c r="F13" s="200"/>
      <c r="G13" s="757"/>
      <c r="H13" s="757"/>
      <c r="I13" s="199"/>
      <c r="J13" s="199"/>
    </row>
    <row r="14" spans="1:10" ht="15.75">
      <c r="A14" s="204"/>
      <c r="B14" s="123" t="s">
        <v>21</v>
      </c>
      <c r="C14" s="123" t="str">
        <f>CONCATENATE("Personal property ",J1-1,"")</f>
        <v>Personal property -1</v>
      </c>
      <c r="D14" s="758" t="s">
        <v>15</v>
      </c>
      <c r="E14" s="139">
        <f>inputOth!D14</f>
        <v>0</v>
      </c>
      <c r="F14" s="200"/>
      <c r="G14" s="199"/>
      <c r="H14" s="199"/>
      <c r="I14" s="757"/>
      <c r="J14" s="199"/>
    </row>
    <row r="15" spans="1:10" ht="15.75">
      <c r="A15" s="758"/>
      <c r="B15" s="123" t="s">
        <v>22</v>
      </c>
      <c r="C15" s="123" t="str">
        <f>CONCATENATE("Personal property ",J1-2,"")</f>
        <v>Personal property -2</v>
      </c>
      <c r="D15" s="758" t="s">
        <v>18</v>
      </c>
      <c r="E15" s="759">
        <f>inputOth!F14</f>
        <v>0</v>
      </c>
      <c r="F15" s="200"/>
      <c r="G15" s="757"/>
      <c r="H15" s="757"/>
      <c r="I15" s="199"/>
      <c r="J15" s="199"/>
    </row>
    <row r="16" spans="1:10" ht="15.75">
      <c r="A16" s="758"/>
      <c r="B16" s="123" t="s">
        <v>23</v>
      </c>
      <c r="C16" s="123" t="s">
        <v>959</v>
      </c>
      <c r="D16" s="123"/>
      <c r="E16" s="199"/>
      <c r="F16" s="199" t="s">
        <v>15</v>
      </c>
      <c r="G16" s="201">
        <f>IF(E14&gt;E15,E14-E15,0)</f>
        <v>0</v>
      </c>
      <c r="H16" s="757"/>
      <c r="I16" s="199"/>
      <c r="J16" s="199"/>
    </row>
    <row r="17" spans="1:10" ht="15.75">
      <c r="A17" s="758"/>
      <c r="B17" s="758"/>
      <c r="C17" s="123"/>
      <c r="D17" s="123"/>
      <c r="E17" s="199"/>
      <c r="F17" s="199"/>
      <c r="G17" s="757" t="s">
        <v>36</v>
      </c>
      <c r="H17" s="757"/>
      <c r="I17" s="199"/>
      <c r="J17" s="199"/>
    </row>
    <row r="18" spans="1:10" ht="15.75">
      <c r="A18" s="758" t="s">
        <v>24</v>
      </c>
      <c r="B18" s="123" t="str">
        <f>CONCATENATE("Valuation of annexed territory for ",J1-1,":")</f>
        <v>Valuation of annexed territory for -1:</v>
      </c>
      <c r="C18" s="123"/>
      <c r="D18" s="123"/>
      <c r="E18" s="757"/>
      <c r="F18" s="199"/>
      <c r="G18" s="199"/>
      <c r="H18" s="199"/>
      <c r="I18" s="199"/>
      <c r="J18" s="199"/>
    </row>
    <row r="19" spans="1:10" ht="15.75">
      <c r="A19" s="758"/>
      <c r="B19" s="123" t="s">
        <v>25</v>
      </c>
      <c r="C19" s="123" t="s">
        <v>960</v>
      </c>
      <c r="D19" s="758" t="s">
        <v>15</v>
      </c>
      <c r="E19" s="139">
        <f>inputOth!B22</f>
        <v>0</v>
      </c>
      <c r="F19" s="199"/>
      <c r="G19" s="199"/>
      <c r="H19" s="199"/>
      <c r="I19" s="199"/>
      <c r="J19" s="199"/>
    </row>
    <row r="20" spans="1:10" ht="15.75">
      <c r="A20" s="758"/>
      <c r="B20" s="123" t="s">
        <v>26</v>
      </c>
      <c r="C20" s="123" t="s">
        <v>961</v>
      </c>
      <c r="D20" s="758" t="s">
        <v>15</v>
      </c>
      <c r="E20" s="139">
        <f>inputOth!C22</f>
        <v>0</v>
      </c>
      <c r="F20" s="199"/>
      <c r="G20" s="757"/>
      <c r="H20" s="757"/>
      <c r="I20" s="199"/>
      <c r="J20" s="199"/>
    </row>
    <row r="21" spans="1:10" ht="15.75">
      <c r="A21" s="758"/>
      <c r="B21" s="123" t="s">
        <v>27</v>
      </c>
      <c r="C21" s="123" t="s">
        <v>962</v>
      </c>
      <c r="D21" s="758" t="s">
        <v>18</v>
      </c>
      <c r="E21" s="139">
        <f>inputOth!D22</f>
        <v>0</v>
      </c>
      <c r="F21" s="199"/>
      <c r="G21" s="757"/>
      <c r="H21" s="757"/>
      <c r="I21" s="199"/>
      <c r="J21" s="199"/>
    </row>
    <row r="22" spans="1:10" ht="15.75">
      <c r="A22" s="758"/>
      <c r="B22" s="123" t="s">
        <v>28</v>
      </c>
      <c r="C22" s="123" t="s">
        <v>963</v>
      </c>
      <c r="D22" s="758"/>
      <c r="E22" s="757"/>
      <c r="F22" s="199" t="s">
        <v>15</v>
      </c>
      <c r="G22" s="201">
        <f>E19+E20-E21</f>
        <v>0</v>
      </c>
      <c r="H22" s="757"/>
      <c r="I22" s="199"/>
      <c r="J22" s="199"/>
    </row>
    <row r="23" spans="1:10" ht="15.75">
      <c r="A23" s="758"/>
      <c r="B23" s="758"/>
      <c r="C23" s="123"/>
      <c r="D23" s="758"/>
      <c r="E23" s="757"/>
      <c r="F23" s="199"/>
      <c r="G23" s="757"/>
      <c r="H23" s="757"/>
      <c r="I23" s="199"/>
      <c r="J23" s="199"/>
    </row>
    <row r="24" spans="1:10" ht="15.75">
      <c r="A24" s="758" t="s">
        <v>29</v>
      </c>
      <c r="B24" s="123" t="str">
        <f>CONCATENATE("Valuation of property that has changed in use during ",J1-1,":")</f>
        <v>Valuation of property that has changed in use during -1:</v>
      </c>
      <c r="C24" s="123"/>
      <c r="D24" s="123"/>
      <c r="E24" s="199"/>
      <c r="F24" s="199"/>
      <c r="G24" s="115">
        <f>inputOth!E14</f>
        <v>0</v>
      </c>
      <c r="H24" s="199"/>
      <c r="I24" s="199"/>
      <c r="J24" s="199"/>
    </row>
    <row r="25" spans="1:10" ht="15.75">
      <c r="A25" s="123" t="s">
        <v>242</v>
      </c>
      <c r="B25" s="123"/>
      <c r="C25" s="123"/>
      <c r="D25" s="758"/>
      <c r="E25" s="757"/>
      <c r="F25" s="199"/>
      <c r="G25" s="760"/>
      <c r="H25" s="757"/>
      <c r="I25" s="199"/>
      <c r="J25" s="199"/>
    </row>
    <row r="26" spans="1:10" ht="15.75">
      <c r="A26" s="758" t="s">
        <v>30</v>
      </c>
      <c r="B26" s="123" t="s">
        <v>964</v>
      </c>
      <c r="C26" s="123"/>
      <c r="D26" s="123"/>
      <c r="E26" s="199"/>
      <c r="F26" s="199"/>
      <c r="G26" s="201">
        <f>G11+G16+G22+G24</f>
        <v>0</v>
      </c>
      <c r="H26" s="757"/>
      <c r="I26" s="199"/>
      <c r="J26" s="199"/>
    </row>
    <row r="27" spans="1:10" ht="15.75">
      <c r="A27" s="758"/>
      <c r="B27" s="758"/>
      <c r="C27" s="123"/>
      <c r="D27" s="123"/>
      <c r="E27" s="199"/>
      <c r="F27" s="199"/>
      <c r="G27" s="757"/>
      <c r="H27" s="757"/>
      <c r="I27" s="199"/>
      <c r="J27" s="199"/>
    </row>
    <row r="28" spans="1:10" ht="15.75">
      <c r="A28" s="758" t="s">
        <v>31</v>
      </c>
      <c r="B28" s="123" t="str">
        <f>CONCATENATE("Total estimated valuation July 1,",J1-1,"")</f>
        <v>Total estimated valuation July 1,-1</v>
      </c>
      <c r="C28" s="123"/>
      <c r="D28" s="123"/>
      <c r="E28" s="201">
        <f>inputOth!B14</f>
        <v>0</v>
      </c>
      <c r="F28" s="199"/>
      <c r="G28" s="199"/>
      <c r="H28" s="199"/>
      <c r="I28" s="200"/>
      <c r="J28" s="199"/>
    </row>
    <row r="29" spans="1:10" ht="15.75">
      <c r="A29" s="758"/>
      <c r="B29" s="758"/>
      <c r="C29" s="123"/>
      <c r="D29" s="123"/>
      <c r="E29" s="757"/>
      <c r="F29" s="199"/>
      <c r="G29" s="199"/>
      <c r="H29" s="199"/>
      <c r="I29" s="200"/>
      <c r="J29" s="199"/>
    </row>
    <row r="30" spans="1:10" ht="15.75">
      <c r="A30" s="758" t="s">
        <v>32</v>
      </c>
      <c r="B30" s="123" t="s">
        <v>965</v>
      </c>
      <c r="C30" s="123"/>
      <c r="D30" s="123"/>
      <c r="E30" s="199"/>
      <c r="F30" s="199"/>
      <c r="G30" s="201">
        <f>E28-G26</f>
        <v>0</v>
      </c>
      <c r="H30" s="757"/>
      <c r="I30" s="200"/>
      <c r="J30" s="199"/>
    </row>
    <row r="31" spans="1:10" ht="15.75">
      <c r="A31" s="758"/>
      <c r="B31" s="758"/>
      <c r="C31" s="123"/>
      <c r="D31" s="123"/>
      <c r="E31" s="123"/>
      <c r="F31" s="123"/>
      <c r="G31" s="761"/>
      <c r="H31" s="762"/>
      <c r="I31" s="758"/>
      <c r="J31" s="123"/>
    </row>
    <row r="32" spans="1:10" ht="15.75">
      <c r="A32" s="758" t="s">
        <v>33</v>
      </c>
      <c r="B32" s="123" t="s">
        <v>966</v>
      </c>
      <c r="C32" s="123"/>
      <c r="D32" s="123"/>
      <c r="E32" s="123"/>
      <c r="F32" s="123"/>
      <c r="G32" s="763">
        <f>IF(G30&gt;0,G26/G30,0)</f>
        <v>0</v>
      </c>
      <c r="H32" s="762"/>
      <c r="I32" s="123"/>
      <c r="J32" s="123"/>
    </row>
    <row r="33" spans="1:10" ht="15.75">
      <c r="A33" s="758"/>
      <c r="B33" s="758"/>
      <c r="C33" s="123"/>
      <c r="D33" s="123"/>
      <c r="E33" s="123"/>
      <c r="F33" s="123"/>
      <c r="G33" s="762"/>
      <c r="H33" s="762"/>
      <c r="I33" s="123"/>
      <c r="J33" s="123"/>
    </row>
    <row r="34" spans="1:10" ht="15.75">
      <c r="A34" s="758" t="s">
        <v>34</v>
      </c>
      <c r="B34" s="123" t="s">
        <v>967</v>
      </c>
      <c r="C34" s="123"/>
      <c r="D34" s="123"/>
      <c r="E34" s="123"/>
      <c r="F34" s="123"/>
      <c r="G34" s="762"/>
      <c r="H34" s="764" t="s">
        <v>15</v>
      </c>
      <c r="I34" s="123" t="s">
        <v>16</v>
      </c>
      <c r="J34" s="201">
        <f>ROUND(G32*J7,0)</f>
        <v>0</v>
      </c>
    </row>
    <row r="35" spans="1:10" ht="15.75">
      <c r="A35" s="758"/>
      <c r="B35" s="758"/>
      <c r="C35" s="123"/>
      <c r="D35" s="123"/>
      <c r="E35" s="123"/>
      <c r="F35" s="123"/>
      <c r="G35" s="762"/>
      <c r="H35" s="764"/>
      <c r="I35" s="123"/>
      <c r="J35" s="757"/>
    </row>
    <row r="36" spans="1:10" ht="16.5" thickBot="1">
      <c r="A36" s="758" t="s">
        <v>35</v>
      </c>
      <c r="B36" s="123" t="str">
        <f>CONCATENATE(J1," budget tax levy, excluding debt service, prior to CPI adjustment (3 plus 12)")</f>
        <v>0 budget tax levy, excluding debt service, prior to CPI adjustment (3 plus 12)</v>
      </c>
      <c r="C36" s="123"/>
      <c r="D36" s="123"/>
      <c r="E36" s="123"/>
      <c r="F36" s="123"/>
      <c r="G36" s="123"/>
      <c r="H36" s="123"/>
      <c r="I36" s="123" t="s">
        <v>16</v>
      </c>
      <c r="J36" s="765">
        <f>J7+J34</f>
        <v>0</v>
      </c>
    </row>
    <row r="37" spans="1:10" ht="16.5" thickTop="1">
      <c r="A37" s="123"/>
      <c r="B37" s="123"/>
      <c r="C37" s="123"/>
      <c r="D37" s="123"/>
      <c r="E37" s="123"/>
      <c r="F37" s="123"/>
      <c r="G37" s="123"/>
      <c r="H37" s="123"/>
      <c r="I37" s="123"/>
      <c r="J37" s="123"/>
    </row>
    <row r="38" spans="1:10" ht="15.75">
      <c r="A38" s="758" t="s">
        <v>45</v>
      </c>
      <c r="B38" s="123" t="str">
        <f>CONCATENATE("Debt service in this ",J1," budget")</f>
        <v>Debt service in this 0 budget</v>
      </c>
      <c r="C38" s="123"/>
      <c r="D38" s="123"/>
      <c r="E38" s="123"/>
      <c r="F38" s="123"/>
      <c r="G38" s="123"/>
      <c r="H38" s="123"/>
      <c r="I38" s="123"/>
      <c r="J38" s="766">
        <f>'DebtSvs-Library'!E42</f>
        <v>0</v>
      </c>
    </row>
    <row r="39" spans="1:10" ht="15.75">
      <c r="A39" s="758"/>
      <c r="B39" s="123"/>
      <c r="C39" s="123"/>
      <c r="D39" s="123"/>
      <c r="E39" s="123"/>
      <c r="F39" s="123"/>
      <c r="G39" s="123"/>
      <c r="H39" s="123"/>
      <c r="I39" s="123"/>
      <c r="J39" s="762"/>
    </row>
    <row r="40" spans="1:10" ht="16.5" thickBot="1">
      <c r="A40" s="758" t="s">
        <v>46</v>
      </c>
      <c r="B40" s="123" t="str">
        <f>CONCATENATE(J1," budget tax levy, including debt service, prior to CPI adjustment (13 plus 14)")</f>
        <v>0 budget tax levy, including debt service, prior to CPI adjustment (13 plus 14)</v>
      </c>
      <c r="C40" s="123"/>
      <c r="D40" s="123"/>
      <c r="E40" s="123"/>
      <c r="F40" s="123"/>
      <c r="G40" s="123"/>
      <c r="H40" s="123"/>
      <c r="I40" s="123"/>
      <c r="J40" s="765">
        <f>J36+J38</f>
        <v>0</v>
      </c>
    </row>
    <row r="41" spans="1:10" ht="16.5" thickTop="1">
      <c r="A41" s="772"/>
      <c r="B41" s="771"/>
      <c r="C41" s="771"/>
      <c r="D41" s="771"/>
      <c r="E41" s="771"/>
      <c r="F41" s="771"/>
      <c r="G41" s="771"/>
      <c r="H41" s="771"/>
      <c r="I41" s="771"/>
      <c r="J41" s="769"/>
    </row>
    <row r="42" spans="1:10" ht="15.75">
      <c r="A42" s="774" t="s">
        <v>953</v>
      </c>
      <c r="B42" s="771" t="str">
        <f>CONCATENATE("Consumer Price Index for all urban consumers for calendar year ",J1-2)</f>
        <v>Consumer Price Index for all urban consumers for calendar year -2</v>
      </c>
      <c r="C42" s="771"/>
      <c r="D42" s="771"/>
      <c r="E42" s="771"/>
      <c r="F42" s="771"/>
      <c r="G42" s="771"/>
      <c r="H42" s="771"/>
      <c r="I42" s="771"/>
      <c r="J42" s="1069">
        <v>0.00125</v>
      </c>
    </row>
    <row r="43" spans="1:10" ht="15.75">
      <c r="A43" s="774"/>
      <c r="B43" s="771"/>
      <c r="C43" s="771"/>
      <c r="D43" s="771"/>
      <c r="E43" s="771"/>
      <c r="F43" s="771"/>
      <c r="G43" s="771"/>
      <c r="H43" s="771"/>
      <c r="I43" s="771"/>
      <c r="J43" s="775"/>
    </row>
    <row r="44" spans="1:10" ht="15.75">
      <c r="A44" s="774" t="s">
        <v>954</v>
      </c>
      <c r="B44" s="771" t="s">
        <v>955</v>
      </c>
      <c r="C44" s="771"/>
      <c r="D44" s="771"/>
      <c r="E44" s="771"/>
      <c r="F44" s="771"/>
      <c r="G44" s="771"/>
      <c r="H44" s="771"/>
      <c r="I44" s="770" t="s">
        <v>16</v>
      </c>
      <c r="J44" s="768">
        <f>ROUND(J7*J42,0)</f>
        <v>0</v>
      </c>
    </row>
    <row r="45" spans="1:10" ht="15.75">
      <c r="A45" s="772"/>
      <c r="B45" s="771"/>
      <c r="C45" s="771"/>
      <c r="D45" s="771"/>
      <c r="E45" s="771"/>
      <c r="F45" s="771"/>
      <c r="G45" s="771"/>
      <c r="H45" s="771"/>
      <c r="I45" s="771"/>
      <c r="J45" s="769"/>
    </row>
    <row r="46" spans="1:10" ht="15.75">
      <c r="A46" s="772" t="s">
        <v>956</v>
      </c>
      <c r="B46" s="771" t="str">
        <f>CONCATENATE("Maximum levy for budget year ",J1," including debt service, not requiring 'notice of vote publication'")</f>
        <v>Maximum levy for budget year 0 including debt service, not requiring 'notice of vote publication'</v>
      </c>
      <c r="C46" s="771"/>
      <c r="D46" s="771"/>
      <c r="E46" s="771"/>
      <c r="F46" s="771"/>
      <c r="G46" s="771"/>
      <c r="H46" s="771"/>
      <c r="I46" s="771"/>
      <c r="J46" s="767"/>
    </row>
    <row r="47" spans="1:10" ht="19.5" thickBot="1">
      <c r="A47" s="756"/>
      <c r="B47" s="770" t="s">
        <v>1034</v>
      </c>
      <c r="C47" s="756"/>
      <c r="D47" s="756"/>
      <c r="E47" s="756"/>
      <c r="F47" s="756"/>
      <c r="G47" s="756"/>
      <c r="H47" s="756"/>
      <c r="I47" s="770" t="s">
        <v>16</v>
      </c>
      <c r="J47" s="773">
        <f>J40+J44</f>
        <v>0</v>
      </c>
    </row>
    <row r="48" spans="1:10" ht="19.5" thickTop="1">
      <c r="A48" s="756"/>
      <c r="B48" s="776"/>
      <c r="C48" s="756"/>
      <c r="D48" s="756"/>
      <c r="E48" s="756"/>
      <c r="F48" s="756"/>
      <c r="G48" s="756"/>
      <c r="H48" s="756"/>
      <c r="I48" s="770"/>
      <c r="J48" s="769"/>
    </row>
    <row r="49" spans="1:10" ht="18.75">
      <c r="A49" s="756"/>
      <c r="B49" s="776"/>
      <c r="C49" s="756"/>
      <c r="D49" s="756"/>
      <c r="E49" s="756"/>
      <c r="F49" s="756"/>
      <c r="G49" s="756"/>
      <c r="H49" s="756"/>
      <c r="I49" s="770"/>
      <c r="J49" s="769"/>
    </row>
    <row r="50" spans="1:10" ht="15" customHeight="1">
      <c r="A50" s="968" t="str">
        <f>CONCATENATE("If the ",J1," adopted budget includes a total property tax levy exceeding the dollar amount in line 18")</f>
        <v>If the 0 adopted budget includes a total property tax levy exceeding the dollar amount in line 18</v>
      </c>
      <c r="B50" s="968"/>
      <c r="C50" s="968"/>
      <c r="D50" s="968"/>
      <c r="E50" s="968"/>
      <c r="F50" s="968"/>
      <c r="G50" s="968"/>
      <c r="H50" s="968"/>
      <c r="I50" s="968"/>
      <c r="J50" s="968"/>
    </row>
    <row r="51" spans="1:10" ht="31.5" customHeight="1">
      <c r="A51" s="967" t="s">
        <v>1035</v>
      </c>
      <c r="B51" s="967"/>
      <c r="C51" s="967"/>
      <c r="D51" s="967"/>
      <c r="E51" s="967"/>
      <c r="F51" s="967"/>
      <c r="G51" s="967"/>
      <c r="H51" s="967"/>
      <c r="I51" s="967"/>
      <c r="J51" s="967"/>
    </row>
    <row r="52" spans="1:10" ht="15" customHeight="1">
      <c r="A52" s="964" t="s">
        <v>957</v>
      </c>
      <c r="B52" s="964"/>
      <c r="C52" s="964"/>
      <c r="D52" s="964"/>
      <c r="E52" s="964"/>
      <c r="F52" s="964"/>
      <c r="G52" s="964"/>
      <c r="H52" s="964"/>
      <c r="I52" s="964"/>
      <c r="J52" s="964"/>
    </row>
    <row r="53" spans="1:10" ht="15" customHeight="1">
      <c r="A53" s="964" t="s">
        <v>1042</v>
      </c>
      <c r="B53" s="964"/>
      <c r="C53" s="964"/>
      <c r="D53" s="964"/>
      <c r="E53" s="964"/>
      <c r="F53" s="964"/>
      <c r="G53" s="964"/>
      <c r="H53" s="964"/>
      <c r="I53" s="964"/>
      <c r="J53" s="964"/>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Q119" sqref="Q119"/>
    </sheetView>
  </sheetViews>
  <sheetFormatPr defaultColWidth="8.796875" defaultRowHeight="15"/>
  <cols>
    <col min="1" max="1" width="8.8984375" style="77" customWidth="1"/>
    <col min="2" max="2" width="16.796875" style="77" customWidth="1"/>
    <col min="3" max="3" width="16.09765625" style="77" customWidth="1"/>
    <col min="4" max="4" width="11.796875" style="77" customWidth="1"/>
    <col min="5" max="5" width="12" style="77" customWidth="1"/>
    <col min="6" max="9" width="11.796875" style="77" customWidth="1"/>
    <col min="10" max="16384" width="8.8984375" style="77" customWidth="1"/>
  </cols>
  <sheetData>
    <row r="1" spans="1:9" ht="15.75">
      <c r="A1" s="81"/>
      <c r="B1" s="205">
        <f>inputPrYr!D3</f>
        <v>0</v>
      </c>
      <c r="C1" s="205"/>
      <c r="D1" s="81"/>
      <c r="E1" s="81"/>
      <c r="F1" s="81"/>
      <c r="G1" s="81"/>
      <c r="H1" s="81"/>
      <c r="I1" s="81">
        <f>inputPrYr!C10</f>
        <v>0</v>
      </c>
    </row>
    <row r="2" spans="1:9" ht="15.75">
      <c r="A2" s="81"/>
      <c r="B2" s="205"/>
      <c r="C2" s="205"/>
      <c r="D2" s="81"/>
      <c r="E2" s="81"/>
      <c r="F2" s="81"/>
      <c r="G2" s="81"/>
      <c r="H2" s="81"/>
      <c r="I2" s="81"/>
    </row>
    <row r="3" spans="1:9" ht="15.75">
      <c r="A3" s="81"/>
      <c r="B3" s="81"/>
      <c r="C3" s="81"/>
      <c r="D3" s="81"/>
      <c r="E3" s="81"/>
      <c r="F3" s="81"/>
      <c r="G3" s="81"/>
      <c r="H3" s="81"/>
      <c r="I3" s="81"/>
    </row>
    <row r="4" spans="1:9" ht="15.75">
      <c r="A4" s="970" t="s">
        <v>1015</v>
      </c>
      <c r="B4" s="971"/>
      <c r="C4" s="971"/>
      <c r="D4" s="971"/>
      <c r="E4" s="971"/>
      <c r="F4" s="971"/>
      <c r="G4" s="971"/>
      <c r="H4" s="971"/>
      <c r="I4" s="971"/>
    </row>
    <row r="5" spans="1:9" ht="15.75">
      <c r="A5" s="81"/>
      <c r="B5" s="81"/>
      <c r="C5" s="206"/>
      <c r="D5" s="207"/>
      <c r="E5" s="207"/>
      <c r="F5" s="81"/>
      <c r="G5" s="81"/>
      <c r="H5" s="81"/>
      <c r="I5" s="81"/>
    </row>
    <row r="6" spans="1:9" ht="21" customHeight="1">
      <c r="A6" s="81"/>
      <c r="B6" s="208" t="s">
        <v>98</v>
      </c>
      <c r="C6" s="859" t="s">
        <v>1016</v>
      </c>
      <c r="D6" s="969" t="str">
        <f>CONCATENATE("Allocation for Year ",I1,"")</f>
        <v>Allocation for Year 0</v>
      </c>
      <c r="E6" s="917"/>
      <c r="F6" s="917"/>
      <c r="G6" s="917"/>
      <c r="H6" s="918"/>
      <c r="I6" s="81"/>
    </row>
    <row r="7" spans="1:9" ht="15.75">
      <c r="A7" s="81"/>
      <c r="B7" s="209" t="str">
        <f>CONCATENATE("for ",I1-1,"")</f>
        <v>for -1</v>
      </c>
      <c r="C7" s="209" t="str">
        <f>CONCATENATE("Tax Year ",I1-2,"")</f>
        <v>Tax Year -2</v>
      </c>
      <c r="D7" s="172" t="s">
        <v>10</v>
      </c>
      <c r="E7" s="172" t="s">
        <v>11</v>
      </c>
      <c r="F7" s="172" t="s">
        <v>9</v>
      </c>
      <c r="G7" s="858" t="s">
        <v>1014</v>
      </c>
      <c r="H7" s="858" t="s">
        <v>1013</v>
      </c>
      <c r="I7" s="442"/>
    </row>
    <row r="8" spans="1:9" ht="15.75">
      <c r="A8" s="81"/>
      <c r="B8" s="109" t="str">
        <f>(inputPrYr!B22)</f>
        <v>General</v>
      </c>
      <c r="C8" s="253">
        <f>(inputPrYr!E22)</f>
        <v>0</v>
      </c>
      <c r="D8" s="253">
        <f>IF(inputPrYr!E22=0,0,D23-SUM(D9:D20))</f>
        <v>0</v>
      </c>
      <c r="E8" s="253">
        <f>IF(inputPrYr!E22=0,0,E25-SUM(E9:E20))</f>
        <v>0</v>
      </c>
      <c r="F8" s="253">
        <f>IF(inputPrYr!E22=0,0,F27-SUM(F9:F20))</f>
        <v>0</v>
      </c>
      <c r="G8" s="253">
        <f>IF(inputPrYr!E22=0,0,G29-SUM(G9:G20))</f>
        <v>0</v>
      </c>
      <c r="H8" s="253">
        <f>IF(inputPrYr!E22=0,0,H31-SUM(H9:H20))</f>
        <v>0</v>
      </c>
      <c r="I8" s="446"/>
    </row>
    <row r="9" spans="1:9" ht="15.75">
      <c r="A9" s="81"/>
      <c r="B9" s="109" t="str">
        <f>IF(inputPrYr!$B23&gt;"  ",(inputPrYr!$B23),"  ")</f>
        <v>Debt Service</v>
      </c>
      <c r="C9" s="253" t="str">
        <f>IF(inputPrYr!$E23&gt;0,(inputPrYr!$E23),"  ")</f>
        <v>  </v>
      </c>
      <c r="D9" s="253" t="str">
        <f>IF(inputPrYr!E23&gt;0,ROUND(C9*$D$34,0),"  ")</f>
        <v>  </v>
      </c>
      <c r="E9" s="253" t="str">
        <f>IF(inputPrYr!E23&gt;0,ROUND(+C9*E$35,0)," ")</f>
        <v> </v>
      </c>
      <c r="F9" s="253" t="str">
        <f>IF(inputPrYr!E23&gt;0,ROUND(C9*F$36,0)," ")</f>
        <v> </v>
      </c>
      <c r="G9" s="253" t="str">
        <f>IF(inputPrYr!E23&gt;0,ROUND(C9*G$37,0)," ")</f>
        <v> </v>
      </c>
      <c r="H9" s="253" t="str">
        <f>IF(inputPrYr!E23&gt;0,ROUND(C9*H$38,0)," ")</f>
        <v> </v>
      </c>
      <c r="I9" s="446"/>
    </row>
    <row r="10" spans="1:9" ht="15.75">
      <c r="A10" s="81"/>
      <c r="B10" s="109" t="str">
        <f>IF(inputPrYr!$B24&gt;"  ",(inputPrYr!$B24),"  ")</f>
        <v>Library</v>
      </c>
      <c r="C10" s="253" t="str">
        <f>IF(inputPrYr!$E24&gt;0,(inputPrYr!$E24),"  ")</f>
        <v>  </v>
      </c>
      <c r="D10" s="253" t="str">
        <f>IF(inputPrYr!E24&gt;0,ROUND(C10*$D$34,0),"  ")</f>
        <v>  </v>
      </c>
      <c r="E10" s="253" t="str">
        <f>IF(inputPrYr!E24&gt;0,ROUND(+C10*E$35,0)," ")</f>
        <v> </v>
      </c>
      <c r="F10" s="253" t="str">
        <f>IF(inputPrYr!E24&gt;0,ROUND(+C10*F$36,0)," ")</f>
        <v> </v>
      </c>
      <c r="G10" s="253" t="str">
        <f>IF(inputPrYr!E24&gt;0,ROUND(C10*G$37,0)," ")</f>
        <v> </v>
      </c>
      <c r="H10" s="253" t="str">
        <f>IF(inputPrYr!E24&gt;0,ROUND(C10*H$38,0)," ")</f>
        <v> </v>
      </c>
      <c r="I10" s="446"/>
    </row>
    <row r="11" spans="1:9" ht="15.75">
      <c r="A11" s="81"/>
      <c r="B11" s="109" t="str">
        <f>IF(inputPrYr!$B26&gt;"  ",(inputPrYr!$B26),"  ")</f>
        <v>  </v>
      </c>
      <c r="C11" s="253" t="str">
        <f>IF(inputPrYr!$E26&gt;0,(inputPrYr!$E26),"  ")</f>
        <v>  </v>
      </c>
      <c r="D11" s="253" t="str">
        <f>IF(inputPrYr!E26&gt;0,ROUND(C11*$D$34,0),"  ")</f>
        <v>  </v>
      </c>
      <c r="E11" s="253" t="str">
        <f>IF(inputPrYr!E26&gt;0,ROUND(+C11*E$35,0)," ")</f>
        <v> </v>
      </c>
      <c r="F11" s="253" t="str">
        <f>IF(inputPrYr!E26&gt;0,ROUND(+C11*F$36,0)," ")</f>
        <v> </v>
      </c>
      <c r="G11" s="253" t="str">
        <f>IF(inputPrYr!E26&gt;0,ROUND(C11*G$37,0)," ")</f>
        <v> </v>
      </c>
      <c r="H11" s="253" t="str">
        <f>IF(inputPrYr!E26&gt;0,ROUND(C11*H$38,0)," ")</f>
        <v> </v>
      </c>
      <c r="I11" s="446"/>
    </row>
    <row r="12" spans="1:9" ht="15.75">
      <c r="A12" s="81"/>
      <c r="B12" s="109" t="str">
        <f>IF(inputPrYr!$B27&gt;"  ",(inputPrYr!$B27),"  ")</f>
        <v>  </v>
      </c>
      <c r="C12" s="253" t="str">
        <f>IF(inputPrYr!$E27&gt;0,(inputPrYr!$E27),"  ")</f>
        <v>  </v>
      </c>
      <c r="D12" s="253" t="str">
        <f>IF(inputPrYr!E27&gt;0,ROUND(C12*$D$34,0),"  ")</f>
        <v>  </v>
      </c>
      <c r="E12" s="253" t="str">
        <f>IF(inputPrYr!E27&gt;0,ROUND(+C12*E$35,0)," ")</f>
        <v> </v>
      </c>
      <c r="F12" s="253" t="str">
        <f>IF(inputPrYr!E27&gt;0,ROUND(+C12*F$36,0)," ")</f>
        <v> </v>
      </c>
      <c r="G12" s="253" t="str">
        <f>IF(inputPrYr!E27&gt;0,ROUND(C12*G$37,0)," ")</f>
        <v> </v>
      </c>
      <c r="H12" s="253" t="str">
        <f>IF(inputPrYr!E27&gt;0,ROUND(C12*H$38,0)," ")</f>
        <v> </v>
      </c>
      <c r="I12" s="446"/>
    </row>
    <row r="13" spans="1:9" ht="15.75">
      <c r="A13" s="81"/>
      <c r="B13" s="109" t="str">
        <f>IF(inputPrYr!$B28&gt;"  ",(inputPrYr!$B28),"  ")</f>
        <v>  </v>
      </c>
      <c r="C13" s="253" t="str">
        <f>IF(inputPrYr!$E28&gt;0,(inputPrYr!$E28),"  ")</f>
        <v>  </v>
      </c>
      <c r="D13" s="253" t="str">
        <f>IF(inputPrYr!E28&gt;0,ROUND(C13*$D$34,0),"  ")</f>
        <v>  </v>
      </c>
      <c r="E13" s="253" t="str">
        <f>IF(inputPrYr!E28&gt;0,ROUND(+C13*E$35,0)," ")</f>
        <v> </v>
      </c>
      <c r="F13" s="253" t="str">
        <f>IF(inputPrYr!E28&gt;0,ROUND(+C13*F$36,0)," ")</f>
        <v> </v>
      </c>
      <c r="G13" s="253" t="str">
        <f>IF(inputPrYr!E28&gt;0,ROUND(C13*G$37,0)," ")</f>
        <v> </v>
      </c>
      <c r="H13" s="253" t="str">
        <f>IF(inputPrYr!E28&gt;0,ROUND(C13*H$38,0)," ")</f>
        <v> </v>
      </c>
      <c r="I13" s="446"/>
    </row>
    <row r="14" spans="1:9" ht="15.75">
      <c r="A14" s="81"/>
      <c r="B14" s="109" t="str">
        <f>IF(inputPrYr!$B29&gt;"  ",(inputPrYr!$B29),"  ")</f>
        <v>  </v>
      </c>
      <c r="C14" s="253" t="str">
        <f>IF(inputPrYr!$E29&gt;0,(inputPrYr!$E29),"  ")</f>
        <v>  </v>
      </c>
      <c r="D14" s="253" t="str">
        <f>IF(inputPrYr!E29&gt;0,ROUND(C14*$D$34,0),"  ")</f>
        <v>  </v>
      </c>
      <c r="E14" s="253" t="str">
        <f>IF(inputPrYr!E29&gt;0,ROUND(+C14*E$35,0)," ")</f>
        <v> </v>
      </c>
      <c r="F14" s="253" t="str">
        <f>IF(inputPrYr!E29&gt;0,ROUND(+C14*F$36,0)," ")</f>
        <v> </v>
      </c>
      <c r="G14" s="253" t="str">
        <f>IF(inputPrYr!E29&gt;0,ROUND(C14*G$37,0)," ")</f>
        <v> </v>
      </c>
      <c r="H14" s="253" t="str">
        <f>IF(inputPrYr!E29&gt;0,ROUND(C14*H$38,0)," ")</f>
        <v> </v>
      </c>
      <c r="I14" s="446"/>
    </row>
    <row r="15" spans="1:9" ht="15.75">
      <c r="A15" s="81"/>
      <c r="B15" s="109" t="str">
        <f>IF(inputPrYr!$B30&gt;"  ",(inputPrYr!$B30),"  ")</f>
        <v>  </v>
      </c>
      <c r="C15" s="253" t="str">
        <f>IF(inputPrYr!$E30&gt;0,(inputPrYr!$E30),"  ")</f>
        <v>  </v>
      </c>
      <c r="D15" s="253" t="str">
        <f>IF(inputPrYr!E30&gt;0,ROUND(C15*$D$34,0),"  ")</f>
        <v>  </v>
      </c>
      <c r="E15" s="253" t="str">
        <f>IF(inputPrYr!E30&gt;0,ROUND(+C15*E$35,0)," ")</f>
        <v> </v>
      </c>
      <c r="F15" s="253" t="str">
        <f>IF(inputPrYr!E30&gt;0,ROUND(+C15*F$36,0)," ")</f>
        <v> </v>
      </c>
      <c r="G15" s="253" t="str">
        <f>IF(inputPrYr!E30&gt;0,ROUND(C15*G$37,0)," ")</f>
        <v> </v>
      </c>
      <c r="H15" s="253" t="str">
        <f>IF(inputPrYr!E30&gt;0,ROUND(C15*H$38,0)," ")</f>
        <v> </v>
      </c>
      <c r="I15" s="446"/>
    </row>
    <row r="16" spans="1:9" ht="15.75">
      <c r="A16" s="81"/>
      <c r="B16" s="109" t="str">
        <f>IF(inputPrYr!$B31&gt;"  ",(inputPrYr!$B31),"  ")</f>
        <v>  </v>
      </c>
      <c r="C16" s="253" t="str">
        <f>IF(inputPrYr!$E31&gt;0,(inputPrYr!$E31),"  ")</f>
        <v>  </v>
      </c>
      <c r="D16" s="253" t="str">
        <f>IF(inputPrYr!E31&gt;0,ROUND(C16*$D$34,0),"  ")</f>
        <v>  </v>
      </c>
      <c r="E16" s="253" t="str">
        <f>IF(inputPrYr!E31&gt;0,ROUND(+C16*E$35,0)," ")</f>
        <v> </v>
      </c>
      <c r="F16" s="253" t="str">
        <f>IF(inputPrYr!E31&gt;0,ROUND(+C16*F$36,0)," ")</f>
        <v> </v>
      </c>
      <c r="G16" s="253" t="str">
        <f>IF(inputPrYr!E31&gt;0,ROUND(C16*G$37,0)," ")</f>
        <v> </v>
      </c>
      <c r="H16" s="253" t="str">
        <f>IF(inputPrYr!E31&gt;0,ROUND(C16*H$38,0)," ")</f>
        <v> </v>
      </c>
      <c r="I16" s="446"/>
    </row>
    <row r="17" spans="1:9" ht="15.75">
      <c r="A17" s="81"/>
      <c r="B17" s="109" t="str">
        <f>IF(inputPrYr!$B32&gt;"  ",(inputPrYr!$B32),"  ")</f>
        <v>  </v>
      </c>
      <c r="C17" s="253" t="str">
        <f>IF(inputPrYr!$E32&gt;0,(inputPrYr!$E32),"  ")</f>
        <v>  </v>
      </c>
      <c r="D17" s="253" t="str">
        <f>IF(inputPrYr!E32&gt;0,ROUND(C17*$D$34,0),"  ")</f>
        <v>  </v>
      </c>
      <c r="E17" s="253" t="str">
        <f>IF(inputPrYr!E32&gt;0,ROUND(+C17*E$35,0)," ")</f>
        <v> </v>
      </c>
      <c r="F17" s="253" t="str">
        <f>IF(inputPrYr!E32&gt;0,ROUND(+C17*F$36,0)," ")</f>
        <v> </v>
      </c>
      <c r="G17" s="253" t="str">
        <f>IF(inputPrYr!E32&gt;0,ROUND(C17*G$37,0)," ")</f>
        <v> </v>
      </c>
      <c r="H17" s="253" t="str">
        <f>IF(inputPrYr!E32&gt;0,ROUND(C17*H$38,0)," ")</f>
        <v> </v>
      </c>
      <c r="I17" s="446"/>
    </row>
    <row r="18" spans="1:9" ht="15.75">
      <c r="A18" s="81"/>
      <c r="B18" s="109" t="str">
        <f>IF(inputPrYr!$B33&gt;"  ",(inputPrYr!$B33),"  ")</f>
        <v>  </v>
      </c>
      <c r="C18" s="253" t="str">
        <f>IF(inputPrYr!$E33&gt;0,(inputPrYr!$E33),"  ")</f>
        <v>  </v>
      </c>
      <c r="D18" s="253" t="str">
        <f>IF(inputPrYr!E33&gt;0,ROUND(C18*$D$34,0),"  ")</f>
        <v>  </v>
      </c>
      <c r="E18" s="253" t="str">
        <f>IF(inputPrYr!E33&gt;0,ROUND(+C18*E$35,0)," ")</f>
        <v> </v>
      </c>
      <c r="F18" s="253" t="str">
        <f>IF(inputPrYr!E33&gt;0,ROUND(+C18*F$36,0)," ")</f>
        <v> </v>
      </c>
      <c r="G18" s="253" t="str">
        <f>IF(inputPrYr!E33&gt;0,ROUND(C18*G$37,0)," ")</f>
        <v> </v>
      </c>
      <c r="H18" s="253" t="str">
        <f>IF(inputPrYr!E33&gt;0,ROUND(C18*H$38,0)," ")</f>
        <v> </v>
      </c>
      <c r="I18" s="446"/>
    </row>
    <row r="19" spans="1:9" ht="15.75">
      <c r="A19" s="81"/>
      <c r="B19" s="109" t="str">
        <f>IF(inputPrYr!$B34&gt;"  ",(inputPrYr!$B34),"  ")</f>
        <v>  </v>
      </c>
      <c r="C19" s="253" t="str">
        <f>IF(inputPrYr!$E34&gt;0,(inputPrYr!$E34),"  ")</f>
        <v>  </v>
      </c>
      <c r="D19" s="253" t="str">
        <f>IF(inputPrYr!E34&gt;0,ROUND(C19*$D$34,0),"  ")</f>
        <v>  </v>
      </c>
      <c r="E19" s="253" t="str">
        <f>IF(inputPrYr!E34&gt;0,ROUND(+C19*E$35,0)," ")</f>
        <v> </v>
      </c>
      <c r="F19" s="253" t="str">
        <f>IF(inputPrYr!E34&gt;0,ROUND(+C19*F$36,0)," ")</f>
        <v> </v>
      </c>
      <c r="G19" s="253" t="str">
        <f>IF(inputPrYr!E34&gt;0,ROUND(C19*G$37,0)," ")</f>
        <v> </v>
      </c>
      <c r="H19" s="253" t="str">
        <f>IF(inputPrYr!E34&gt;0,ROUND(C19*H$38,0)," ")</f>
        <v> </v>
      </c>
      <c r="I19" s="446"/>
    </row>
    <row r="20" spans="1:9" ht="15.75">
      <c r="A20" s="81"/>
      <c r="B20" s="109" t="str">
        <f>IF(inputPrYr!B35&gt;"  ",(inputPrYr!B35),"  ")</f>
        <v>  </v>
      </c>
      <c r="C20" s="253" t="str">
        <f>IF(inputPrYr!E35&gt;0,(inputPrYr!E35),"  ")</f>
        <v>  </v>
      </c>
      <c r="D20" s="253" t="str">
        <f>IF(inputPrYr!E35&gt;0,ROUND(C20*$D$34,0),"  ")</f>
        <v>  </v>
      </c>
      <c r="E20" s="253" t="str">
        <f>IF(inputPrYr!E35&gt;0,ROUND(+C20*E$35,0)," ")</f>
        <v> </v>
      </c>
      <c r="F20" s="253" t="str">
        <f>IF(inputPrYr!E35&gt;0,ROUND(+C20*F$36,0)," ")</f>
        <v> </v>
      </c>
      <c r="G20" s="253" t="str">
        <f>IF(inputPrYr!E35&gt;0,ROUND(C20*G$37,0)," ")</f>
        <v> </v>
      </c>
      <c r="H20" s="253" t="str">
        <f>IF(inputPrYr!E35&gt;0,ROUND(C20*H$38,0)," ")</f>
        <v> </v>
      </c>
      <c r="I20" s="446"/>
    </row>
    <row r="21" spans="1:9" ht="16.5" thickBot="1">
      <c r="A21" s="81"/>
      <c r="B21" s="81" t="s">
        <v>260</v>
      </c>
      <c r="C21" s="210">
        <f aca="true" t="shared" si="0" ref="C21:H21">SUM(C8:C20)</f>
        <v>0</v>
      </c>
      <c r="D21" s="210">
        <f t="shared" si="0"/>
        <v>0</v>
      </c>
      <c r="E21" s="210">
        <f t="shared" si="0"/>
        <v>0</v>
      </c>
      <c r="F21" s="210">
        <f t="shared" si="0"/>
        <v>0</v>
      </c>
      <c r="G21" s="210">
        <f t="shared" si="0"/>
        <v>0</v>
      </c>
      <c r="H21" s="210">
        <f t="shared" si="0"/>
        <v>0</v>
      </c>
      <c r="I21" s="81"/>
    </row>
    <row r="22" spans="1:9" ht="16.5" thickTop="1">
      <c r="A22" s="81"/>
      <c r="B22" s="81"/>
      <c r="C22" s="103"/>
      <c r="D22" s="103"/>
      <c r="E22" s="103"/>
      <c r="F22" s="103"/>
      <c r="G22" s="103"/>
      <c r="H22" s="103"/>
      <c r="I22" s="81"/>
    </row>
    <row r="23" spans="1:9" ht="15.75">
      <c r="A23" s="81"/>
      <c r="B23" s="84" t="s">
        <v>261</v>
      </c>
      <c r="C23" s="211"/>
      <c r="D23" s="212">
        <f>(inputOth!C59)</f>
        <v>0</v>
      </c>
      <c r="E23" s="211"/>
      <c r="F23" s="81"/>
      <c r="G23" s="81"/>
      <c r="H23" s="81"/>
      <c r="I23" s="81"/>
    </row>
    <row r="24" spans="1:9" ht="15.75">
      <c r="A24" s="81"/>
      <c r="B24" s="84"/>
      <c r="C24" s="211"/>
      <c r="D24" s="103"/>
      <c r="E24" s="211"/>
      <c r="F24" s="81"/>
      <c r="G24" s="81"/>
      <c r="H24" s="81"/>
      <c r="I24" s="81"/>
    </row>
    <row r="25" spans="1:9" ht="15.75">
      <c r="A25" s="81"/>
      <c r="B25" s="860" t="s">
        <v>1019</v>
      </c>
      <c r="C25" s="81"/>
      <c r="D25" s="81"/>
      <c r="E25" s="212">
        <f>(inputOth!D59)</f>
        <v>0</v>
      </c>
      <c r="F25" s="81"/>
      <c r="G25" s="81"/>
      <c r="H25" s="81"/>
      <c r="I25" s="81"/>
    </row>
    <row r="26" spans="1:9" ht="15.75">
      <c r="A26" s="81"/>
      <c r="B26" s="84"/>
      <c r="C26" s="81"/>
      <c r="D26" s="81"/>
      <c r="E26" s="103"/>
      <c r="F26" s="81"/>
      <c r="G26" s="81"/>
      <c r="H26" s="81"/>
      <c r="I26" s="81"/>
    </row>
    <row r="27" spans="1:9" ht="15.75">
      <c r="A27" s="81"/>
      <c r="B27" s="860" t="s">
        <v>1020</v>
      </c>
      <c r="C27" s="81"/>
      <c r="D27" s="81"/>
      <c r="E27" s="81"/>
      <c r="F27" s="212">
        <f>inputOth!E59</f>
        <v>0</v>
      </c>
      <c r="G27" s="103"/>
      <c r="H27" s="103"/>
      <c r="I27" s="81"/>
    </row>
    <row r="28" spans="1:9" ht="15.75">
      <c r="A28" s="81"/>
      <c r="B28" s="84"/>
      <c r="C28" s="81"/>
      <c r="D28" s="81"/>
      <c r="E28" s="81"/>
      <c r="F28" s="103"/>
      <c r="G28" s="103"/>
      <c r="H28" s="103"/>
      <c r="I28" s="81"/>
    </row>
    <row r="29" spans="1:9" ht="15.75">
      <c r="A29" s="81"/>
      <c r="B29" s="861" t="s">
        <v>1021</v>
      </c>
      <c r="C29" s="81"/>
      <c r="D29" s="81"/>
      <c r="E29" s="81"/>
      <c r="F29" s="103"/>
      <c r="G29" s="212">
        <f>inputOth!F59</f>
        <v>0</v>
      </c>
      <c r="H29" s="103"/>
      <c r="I29" s="81"/>
    </row>
    <row r="30" spans="1:9" ht="15.75">
      <c r="A30" s="81"/>
      <c r="B30" s="84"/>
      <c r="C30" s="81"/>
      <c r="D30" s="81"/>
      <c r="E30" s="81"/>
      <c r="F30" s="103"/>
      <c r="G30" s="103"/>
      <c r="H30" s="103"/>
      <c r="I30" s="81"/>
    </row>
    <row r="31" spans="1:9" ht="15.75">
      <c r="A31" s="81"/>
      <c r="B31" s="862" t="s">
        <v>1022</v>
      </c>
      <c r="C31" s="81"/>
      <c r="D31" s="81"/>
      <c r="E31" s="81"/>
      <c r="F31" s="103"/>
      <c r="G31" s="103"/>
      <c r="H31" s="212">
        <f>inputOth!G59</f>
        <v>0</v>
      </c>
      <c r="I31" s="81"/>
    </row>
    <row r="32" spans="1:9" ht="15.75">
      <c r="A32" s="846"/>
      <c r="B32" s="847"/>
      <c r="C32" s="846"/>
      <c r="D32" s="846"/>
      <c r="E32" s="846"/>
      <c r="F32" s="347"/>
      <c r="G32" s="347"/>
      <c r="H32" s="347"/>
      <c r="I32" s="846"/>
    </row>
    <row r="33" spans="1:9" ht="15.75">
      <c r="A33" s="846"/>
      <c r="B33" s="847"/>
      <c r="C33" s="846"/>
      <c r="D33" s="846"/>
      <c r="E33" s="846"/>
      <c r="F33" s="347"/>
      <c r="G33" s="347"/>
      <c r="H33" s="347"/>
      <c r="I33" s="848"/>
    </row>
    <row r="34" spans="1:9" ht="15.75">
      <c r="A34" s="846"/>
      <c r="B34" s="847" t="s">
        <v>262</v>
      </c>
      <c r="C34" s="846"/>
      <c r="D34" s="849">
        <f>IF(C21=0,0,D23/C21)</f>
        <v>0</v>
      </c>
      <c r="E34" s="846"/>
      <c r="F34" s="846"/>
      <c r="G34" s="846"/>
      <c r="H34" s="846"/>
      <c r="I34" s="846"/>
    </row>
    <row r="35" spans="1:9" ht="15.75">
      <c r="A35" s="846"/>
      <c r="B35" s="846"/>
      <c r="C35" s="847" t="s">
        <v>263</v>
      </c>
      <c r="D35" s="846"/>
      <c r="E35" s="849">
        <f>IF(C21=0,0,E25/C21)</f>
        <v>0</v>
      </c>
      <c r="F35" s="846"/>
      <c r="G35" s="846"/>
      <c r="H35" s="846"/>
      <c r="I35" s="846"/>
    </row>
    <row r="36" spans="1:9" ht="15.75">
      <c r="A36" s="846"/>
      <c r="B36" s="846"/>
      <c r="C36" s="846"/>
      <c r="D36" s="847" t="s">
        <v>12</v>
      </c>
      <c r="E36" s="846"/>
      <c r="F36" s="849">
        <f>IF(C21=0,0,F27/C21)</f>
        <v>0</v>
      </c>
      <c r="G36" s="850"/>
      <c r="H36" s="850"/>
      <c r="I36" s="846"/>
    </row>
    <row r="37" spans="1:9" ht="15.75">
      <c r="A37" s="846"/>
      <c r="B37" s="846"/>
      <c r="C37" s="846"/>
      <c r="D37" s="847"/>
      <c r="E37" s="864" t="s">
        <v>1017</v>
      </c>
      <c r="F37" s="863"/>
      <c r="G37" s="849">
        <f>IF(C21=0,0,G29/C21)</f>
        <v>0</v>
      </c>
      <c r="H37" s="850"/>
      <c r="I37" s="846"/>
    </row>
    <row r="38" spans="1:9" ht="15.75">
      <c r="A38" s="846"/>
      <c r="B38" s="846"/>
      <c r="C38" s="846"/>
      <c r="D38" s="847"/>
      <c r="E38" s="865"/>
      <c r="F38" s="864" t="s">
        <v>1018</v>
      </c>
      <c r="G38" s="850"/>
      <c r="H38" s="849">
        <f>IF(C21=0,0,H31/C21)</f>
        <v>0</v>
      </c>
      <c r="I38" s="846"/>
    </row>
    <row r="39" spans="1:9" ht="15.75">
      <c r="A39" s="846"/>
      <c r="B39" s="851"/>
      <c r="C39" s="851"/>
      <c r="D39" s="851"/>
      <c r="E39" s="851"/>
      <c r="F39" s="851"/>
      <c r="G39" s="851"/>
      <c r="H39" s="851"/>
      <c r="I39" s="851"/>
    </row>
    <row r="40" spans="1:9" ht="15" customHeight="1">
      <c r="A40" s="846"/>
      <c r="B40" s="851"/>
      <c r="C40" s="851"/>
      <c r="D40" s="851"/>
      <c r="E40" s="851"/>
      <c r="F40" s="851"/>
      <c r="G40" s="851"/>
      <c r="H40" s="851"/>
      <c r="I40" s="851"/>
    </row>
    <row r="41" spans="2:9" s="213" customFormat="1" ht="15" customHeight="1">
      <c r="B41" s="121"/>
      <c r="C41" s="121"/>
      <c r="D41" s="121"/>
      <c r="E41" s="121"/>
      <c r="F41" s="121"/>
      <c r="G41" s="121"/>
      <c r="H41" s="121"/>
      <c r="I41" s="121"/>
    </row>
    <row r="42" spans="2:9" ht="15" customHeight="1">
      <c r="B42" s="121"/>
      <c r="C42" s="121"/>
      <c r="D42" s="121"/>
      <c r="E42" s="121"/>
      <c r="F42" s="121"/>
      <c r="G42" s="121"/>
      <c r="H42" s="121"/>
      <c r="I42" s="121"/>
    </row>
    <row r="43" spans="2:9" ht="15" customHeight="1">
      <c r="B43" s="121"/>
      <c r="C43" s="121"/>
      <c r="D43" s="121"/>
      <c r="E43" s="121"/>
      <c r="F43" s="121"/>
      <c r="G43" s="121"/>
      <c r="H43" s="121"/>
      <c r="I43" s="121"/>
    </row>
    <row r="44" spans="2:9" ht="15" customHeight="1">
      <c r="B44" s="121"/>
      <c r="C44" s="121"/>
      <c r="D44" s="121"/>
      <c r="E44" s="121"/>
      <c r="F44" s="121"/>
      <c r="G44" s="121"/>
      <c r="H44" s="121"/>
      <c r="I44" s="121"/>
    </row>
    <row r="45" spans="2:9" ht="15" customHeight="1">
      <c r="B45" s="121"/>
      <c r="C45" s="121"/>
      <c r="D45" s="121"/>
      <c r="E45" s="121"/>
      <c r="F45" s="121"/>
      <c r="G45" s="121"/>
      <c r="H45" s="121"/>
      <c r="I45" s="121"/>
    </row>
    <row r="46" spans="2:9" ht="15" customHeight="1">
      <c r="B46" s="121"/>
      <c r="C46" s="121"/>
      <c r="D46" s="121"/>
      <c r="E46" s="121"/>
      <c r="F46" s="121"/>
      <c r="G46" s="121"/>
      <c r="H46" s="121"/>
      <c r="I46" s="121"/>
    </row>
    <row r="47" spans="2:9" ht="15" customHeight="1">
      <c r="B47" s="121"/>
      <c r="C47" s="121"/>
      <c r="D47" s="121"/>
      <c r="E47" s="121"/>
      <c r="F47" s="121"/>
      <c r="G47" s="121"/>
      <c r="H47" s="121"/>
      <c r="I47" s="121"/>
    </row>
    <row r="48" spans="2:9" ht="15" customHeight="1">
      <c r="B48" s="121"/>
      <c r="C48" s="121"/>
      <c r="D48" s="121"/>
      <c r="E48" s="121"/>
      <c r="F48" s="121"/>
      <c r="G48" s="121"/>
      <c r="H48" s="121"/>
      <c r="I48" s="121"/>
    </row>
    <row r="49" spans="2:9" ht="15" customHeight="1">
      <c r="B49" s="121"/>
      <c r="C49" s="121"/>
      <c r="D49" s="121"/>
      <c r="E49" s="121"/>
      <c r="F49" s="121"/>
      <c r="G49" s="121"/>
      <c r="H49" s="121"/>
      <c r="I49" s="121"/>
    </row>
    <row r="50" spans="2:9" ht="15" customHeight="1">
      <c r="B50" s="121"/>
      <c r="C50" s="121"/>
      <c r="D50" s="121"/>
      <c r="E50" s="121"/>
      <c r="F50" s="121"/>
      <c r="G50" s="121"/>
      <c r="H50" s="121"/>
      <c r="I50" s="121"/>
    </row>
    <row r="51" spans="2:9" ht="15" customHeight="1">
      <c r="B51" s="121"/>
      <c r="C51" s="121"/>
      <c r="D51" s="121"/>
      <c r="E51" s="121"/>
      <c r="F51" s="121"/>
      <c r="G51" s="121"/>
      <c r="H51" s="121"/>
      <c r="I51" s="121"/>
    </row>
    <row r="52" spans="2:9" ht="15" customHeight="1">
      <c r="B52" s="121"/>
      <c r="C52" s="121"/>
      <c r="D52" s="121"/>
      <c r="E52" s="121"/>
      <c r="F52" s="121"/>
      <c r="G52" s="121"/>
      <c r="H52" s="121"/>
      <c r="I52" s="121"/>
    </row>
    <row r="53" spans="2:9" ht="15" customHeight="1">
      <c r="B53" s="121"/>
      <c r="C53" s="121"/>
      <c r="D53" s="121"/>
      <c r="E53" s="121"/>
      <c r="F53" s="121"/>
      <c r="G53" s="121"/>
      <c r="H53" s="121"/>
      <c r="I53" s="121"/>
    </row>
    <row r="54" spans="2:9" ht="15" customHeight="1">
      <c r="B54" s="121"/>
      <c r="C54" s="121"/>
      <c r="D54" s="121"/>
      <c r="E54" s="121"/>
      <c r="F54" s="121"/>
      <c r="G54" s="121"/>
      <c r="H54" s="121"/>
      <c r="I54" s="121"/>
    </row>
    <row r="55" spans="2:9" ht="15" customHeight="1">
      <c r="B55" s="121"/>
      <c r="C55" s="121"/>
      <c r="D55" s="121"/>
      <c r="E55" s="121"/>
      <c r="F55" s="121"/>
      <c r="G55" s="121"/>
      <c r="H55" s="121"/>
      <c r="I55" s="121"/>
    </row>
    <row r="56" spans="2:9" ht="15.75">
      <c r="B56" s="121"/>
      <c r="C56" s="121"/>
      <c r="D56" s="121"/>
      <c r="E56" s="121"/>
      <c r="F56" s="121"/>
      <c r="G56" s="121"/>
      <c r="H56" s="121"/>
      <c r="I56" s="121"/>
    </row>
    <row r="57" spans="2:9" ht="15.75">
      <c r="B57" s="121"/>
      <c r="C57" s="121"/>
      <c r="D57" s="121"/>
      <c r="E57" s="121"/>
      <c r="F57" s="121"/>
      <c r="G57" s="121"/>
      <c r="H57" s="121"/>
      <c r="I57" s="121"/>
    </row>
    <row r="58" spans="2:9" ht="15.75">
      <c r="B58" s="121"/>
      <c r="C58" s="121"/>
      <c r="D58" s="121"/>
      <c r="E58" s="121"/>
      <c r="F58" s="121"/>
      <c r="G58" s="121"/>
      <c r="H58" s="121"/>
      <c r="I58" s="121"/>
    </row>
    <row r="59" spans="2:9" ht="15.75">
      <c r="B59" s="121"/>
      <c r="C59" s="121"/>
      <c r="D59" s="121"/>
      <c r="E59" s="121"/>
      <c r="F59" s="121"/>
      <c r="G59" s="121"/>
      <c r="H59" s="121"/>
      <c r="I59" s="121"/>
    </row>
    <row r="60" spans="2:9" ht="15.75">
      <c r="B60" s="121"/>
      <c r="C60" s="121"/>
      <c r="D60" s="121"/>
      <c r="E60" s="121"/>
      <c r="F60" s="121"/>
      <c r="G60" s="121"/>
      <c r="H60" s="121"/>
      <c r="I60" s="121"/>
    </row>
    <row r="61" spans="2:9" ht="15.75">
      <c r="B61" s="121"/>
      <c r="C61" s="121"/>
      <c r="D61" s="121"/>
      <c r="E61" s="121"/>
      <c r="F61" s="121"/>
      <c r="G61" s="121"/>
      <c r="H61" s="121"/>
      <c r="I61" s="121"/>
    </row>
    <row r="62" spans="2:9" ht="15.75">
      <c r="B62" s="121"/>
      <c r="C62" s="121"/>
      <c r="D62" s="121"/>
      <c r="E62" s="121"/>
      <c r="F62" s="121"/>
      <c r="G62" s="121"/>
      <c r="H62" s="121"/>
      <c r="I62" s="121"/>
    </row>
    <row r="63" spans="2:9" ht="15.75">
      <c r="B63" s="121"/>
      <c r="C63" s="121"/>
      <c r="D63" s="121"/>
      <c r="E63" s="121"/>
      <c r="F63" s="121"/>
      <c r="G63" s="121"/>
      <c r="H63" s="121"/>
      <c r="I63" s="121"/>
    </row>
  </sheetData>
  <sheetProtection sheet="1"/>
  <mergeCells count="2">
    <mergeCell ref="D6:H6"/>
    <mergeCell ref="A4:I4"/>
  </mergeCells>
  <printOptions/>
  <pageMargins left="0.5" right="0.5" top="0.5" bottom="0.25" header="0" footer="0.25"/>
  <pageSetup blackAndWhite="1" fitToHeight="1" fitToWidth="1" horizontalDpi="120" verticalDpi="120" orientation="portrait" scale="66"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59" sqref="Q59"/>
    </sheetView>
  </sheetViews>
  <sheetFormatPr defaultColWidth="8.796875" defaultRowHeight="15"/>
  <cols>
    <col min="1" max="2" width="17.796875" style="65" customWidth="1"/>
    <col min="3" max="6" width="12.796875" style="65" customWidth="1"/>
    <col min="7" max="16384" width="8.8984375" style="65" customWidth="1"/>
  </cols>
  <sheetData>
    <row r="1" spans="1:6" ht="15.75">
      <c r="A1" s="122">
        <f>inputPrYr!D3</f>
        <v>0</v>
      </c>
      <c r="B1" s="122"/>
      <c r="C1" s="123"/>
      <c r="D1" s="123"/>
      <c r="E1" s="123"/>
      <c r="F1" s="123">
        <f>inputPrYr!$C$10</f>
        <v>0</v>
      </c>
    </row>
    <row r="2" spans="1:6" ht="15.75">
      <c r="A2" s="123"/>
      <c r="B2" s="123"/>
      <c r="C2" s="123"/>
      <c r="D2" s="123"/>
      <c r="E2" s="123"/>
      <c r="F2" s="123"/>
    </row>
    <row r="3" spans="1:6" ht="15.75">
      <c r="A3" s="972" t="s">
        <v>52</v>
      </c>
      <c r="B3" s="972"/>
      <c r="C3" s="972"/>
      <c r="D3" s="972"/>
      <c r="E3" s="972"/>
      <c r="F3" s="972"/>
    </row>
    <row r="4" spans="1:6" ht="15.75">
      <c r="A4" s="214"/>
      <c r="B4" s="214"/>
      <c r="C4" s="214"/>
      <c r="D4" s="214"/>
      <c r="E4" s="214"/>
      <c r="F4" s="214"/>
    </row>
    <row r="5" spans="1:6" ht="15.75">
      <c r="A5" s="215" t="s">
        <v>624</v>
      </c>
      <c r="B5" s="215" t="s">
        <v>625</v>
      </c>
      <c r="C5" s="215" t="s">
        <v>288</v>
      </c>
      <c r="D5" s="215" t="s">
        <v>57</v>
      </c>
      <c r="E5" s="215" t="s">
        <v>58</v>
      </c>
      <c r="F5" s="215" t="s">
        <v>91</v>
      </c>
    </row>
    <row r="6" spans="1:6" ht="15.75">
      <c r="A6" s="216" t="s">
        <v>626</v>
      </c>
      <c r="B6" s="216" t="s">
        <v>627</v>
      </c>
      <c r="C6" s="216" t="s">
        <v>92</v>
      </c>
      <c r="D6" s="216" t="s">
        <v>92</v>
      </c>
      <c r="E6" s="216" t="s">
        <v>92</v>
      </c>
      <c r="F6" s="216" t="s">
        <v>93</v>
      </c>
    </row>
    <row r="7" spans="1:6" ht="15" customHeight="1">
      <c r="A7" s="217" t="s">
        <v>94</v>
      </c>
      <c r="B7" s="217" t="s">
        <v>95</v>
      </c>
      <c r="C7" s="218">
        <f>F1-2</f>
        <v>-2</v>
      </c>
      <c r="D7" s="218">
        <f>F1-1</f>
        <v>-1</v>
      </c>
      <c r="E7" s="218">
        <f>F1</f>
        <v>0</v>
      </c>
      <c r="F7" s="217" t="s">
        <v>96</v>
      </c>
    </row>
    <row r="8" spans="1:6" ht="14.25" customHeight="1">
      <c r="A8" s="219"/>
      <c r="B8" s="219"/>
      <c r="C8" s="531"/>
      <c r="D8" s="531"/>
      <c r="E8" s="531"/>
      <c r="F8" s="220"/>
    </row>
    <row r="9" spans="1:6" ht="15" customHeight="1">
      <c r="A9" s="221"/>
      <c r="B9" s="221"/>
      <c r="C9" s="532"/>
      <c r="D9" s="532"/>
      <c r="E9" s="532"/>
      <c r="F9" s="220"/>
    </row>
    <row r="10" spans="1:6" ht="15" customHeight="1">
      <c r="A10" s="221"/>
      <c r="B10" s="221"/>
      <c r="C10" s="532"/>
      <c r="D10" s="532"/>
      <c r="E10" s="532"/>
      <c r="F10" s="220"/>
    </row>
    <row r="11" spans="1:6" ht="15" customHeight="1">
      <c r="A11" s="221"/>
      <c r="B11" s="221"/>
      <c r="C11" s="532"/>
      <c r="D11" s="532"/>
      <c r="E11" s="532"/>
      <c r="F11" s="220"/>
    </row>
    <row r="12" spans="1:6" ht="15" customHeight="1">
      <c r="A12" s="221"/>
      <c r="B12" s="221"/>
      <c r="C12" s="532"/>
      <c r="D12" s="532"/>
      <c r="E12" s="532"/>
      <c r="F12" s="220"/>
    </row>
    <row r="13" spans="1:6" ht="15" customHeight="1">
      <c r="A13" s="221"/>
      <c r="B13" s="221"/>
      <c r="C13" s="532"/>
      <c r="D13" s="532"/>
      <c r="E13" s="532"/>
      <c r="F13" s="220"/>
    </row>
    <row r="14" spans="1:6" ht="15" customHeight="1">
      <c r="A14" s="221"/>
      <c r="B14" s="221"/>
      <c r="C14" s="532"/>
      <c r="D14" s="532"/>
      <c r="E14" s="532"/>
      <c r="F14" s="220"/>
    </row>
    <row r="15" spans="1:6" ht="15" customHeight="1">
      <c r="A15" s="221"/>
      <c r="B15" s="221"/>
      <c r="C15" s="532"/>
      <c r="D15" s="532"/>
      <c r="E15" s="532"/>
      <c r="F15" s="220"/>
    </row>
    <row r="16" spans="1:6" ht="15" customHeight="1">
      <c r="A16" s="221"/>
      <c r="B16" s="221"/>
      <c r="C16" s="532"/>
      <c r="D16" s="532"/>
      <c r="E16" s="532"/>
      <c r="F16" s="220"/>
    </row>
    <row r="17" spans="1:6" ht="15" customHeight="1">
      <c r="A17" s="221"/>
      <c r="B17" s="221"/>
      <c r="C17" s="532"/>
      <c r="D17" s="532"/>
      <c r="E17" s="532"/>
      <c r="F17" s="220"/>
    </row>
    <row r="18" spans="1:6" ht="15" customHeight="1">
      <c r="A18" s="221"/>
      <c r="B18" s="221"/>
      <c r="C18" s="532"/>
      <c r="D18" s="532"/>
      <c r="E18" s="532"/>
      <c r="F18" s="220"/>
    </row>
    <row r="19" spans="1:6" ht="15" customHeight="1">
      <c r="A19" s="221"/>
      <c r="B19" s="221"/>
      <c r="C19" s="532"/>
      <c r="D19" s="532"/>
      <c r="E19" s="532"/>
      <c r="F19" s="220"/>
    </row>
    <row r="20" spans="1:6" ht="15" customHeight="1">
      <c r="A20" s="221"/>
      <c r="B20" s="221"/>
      <c r="C20" s="532"/>
      <c r="D20" s="532"/>
      <c r="E20" s="532"/>
      <c r="F20" s="220"/>
    </row>
    <row r="21" spans="1:6" ht="15" customHeight="1">
      <c r="A21" s="221"/>
      <c r="B21" s="221"/>
      <c r="C21" s="532"/>
      <c r="D21" s="532"/>
      <c r="E21" s="532"/>
      <c r="F21" s="220"/>
    </row>
    <row r="22" spans="1:6" ht="15" customHeight="1">
      <c r="A22" s="221"/>
      <c r="B22" s="221"/>
      <c r="C22" s="532"/>
      <c r="D22" s="532"/>
      <c r="E22" s="532"/>
      <c r="F22" s="220"/>
    </row>
    <row r="23" spans="1:6" ht="15" customHeight="1">
      <c r="A23" s="221"/>
      <c r="B23" s="221"/>
      <c r="C23" s="532"/>
      <c r="D23" s="532"/>
      <c r="E23" s="532"/>
      <c r="F23" s="220"/>
    </row>
    <row r="24" spans="1:6" ht="15" customHeight="1">
      <c r="A24" s="221"/>
      <c r="B24" s="221"/>
      <c r="C24" s="532"/>
      <c r="D24" s="532"/>
      <c r="E24" s="532"/>
      <c r="F24" s="220"/>
    </row>
    <row r="25" spans="1:6" ht="15" customHeight="1">
      <c r="A25" s="221"/>
      <c r="B25" s="221"/>
      <c r="C25" s="532"/>
      <c r="D25" s="532"/>
      <c r="E25" s="532"/>
      <c r="F25" s="220"/>
    </row>
    <row r="26" spans="1:6" ht="15" customHeight="1">
      <c r="A26" s="116"/>
      <c r="B26" s="222" t="s">
        <v>253</v>
      </c>
      <c r="C26" s="223">
        <f>SUM(C8:C25)</f>
        <v>0</v>
      </c>
      <c r="D26" s="223">
        <f>SUM(D8:D25)</f>
        <v>0</v>
      </c>
      <c r="E26" s="223">
        <f>SUM(E8:E25)</f>
        <v>0</v>
      </c>
      <c r="F26" s="224"/>
    </row>
    <row r="27" spans="1:6" ht="15" customHeight="1">
      <c r="A27" s="116"/>
      <c r="B27" s="225" t="s">
        <v>622</v>
      </c>
      <c r="C27" s="179"/>
      <c r="D27" s="226"/>
      <c r="E27" s="226"/>
      <c r="F27" s="224"/>
    </row>
    <row r="28" spans="1:6" ht="15" customHeight="1">
      <c r="A28" s="116"/>
      <c r="B28" s="222" t="s">
        <v>97</v>
      </c>
      <c r="C28" s="223">
        <f>C26</f>
        <v>0</v>
      </c>
      <c r="D28" s="223">
        <f>SUM(D26-D27)</f>
        <v>0</v>
      </c>
      <c r="E28" s="223">
        <f>SUM(E26-E27)</f>
        <v>0</v>
      </c>
      <c r="F28" s="224"/>
    </row>
    <row r="29" spans="1:6" ht="15" customHeight="1">
      <c r="A29" s="116"/>
      <c r="B29" s="116"/>
      <c r="C29" s="116"/>
      <c r="D29" s="116"/>
      <c r="E29" s="116"/>
      <c r="F29" s="116"/>
    </row>
    <row r="30" spans="1:6" ht="15" customHeight="1">
      <c r="A30" s="116"/>
      <c r="B30" s="116"/>
      <c r="C30" s="116"/>
      <c r="D30" s="116"/>
      <c r="E30" s="116"/>
      <c r="F30" s="116"/>
    </row>
    <row r="31" spans="1:6" ht="15" customHeight="1">
      <c r="A31" s="385" t="s">
        <v>623</v>
      </c>
      <c r="B31" s="386" t="str">
        <f>CONCATENATE("Adjustments are required only if the transfer is being made in ",D7," and/or ",E7," from a non-budgeted fund.")</f>
        <v>Adjustments are required only if the transfer is being made in -1 and/or 0 from a non-budgeted fund.</v>
      </c>
      <c r="C31" s="116"/>
      <c r="D31" s="116"/>
      <c r="E31" s="116"/>
      <c r="F31" s="116"/>
    </row>
    <row r="32" ht="15" customHeight="1"/>
  </sheetData>
  <sheetProtection sheet="1" objects="1" scenarios="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15" sqref="N115"/>
    </sheetView>
  </sheetViews>
  <sheetFormatPr defaultColWidth="8.796875" defaultRowHeight="15"/>
  <cols>
    <col min="1" max="1" width="70.59765625" style="263" customWidth="1"/>
    <col min="2" max="16384" width="8.8984375" style="263" customWidth="1"/>
  </cols>
  <sheetData>
    <row r="1" ht="18.75">
      <c r="A1" s="621" t="s">
        <v>359</v>
      </c>
    </row>
    <row r="2" ht="18.75">
      <c r="A2" s="621"/>
    </row>
    <row r="3" ht="18.75">
      <c r="A3" s="621"/>
    </row>
    <row r="4" ht="51.75" customHeight="1">
      <c r="A4" s="622" t="s">
        <v>639</v>
      </c>
    </row>
    <row r="5" ht="18.75">
      <c r="A5" s="621"/>
    </row>
    <row r="6" ht="15.75">
      <c r="A6" s="264"/>
    </row>
    <row r="7" ht="47.25">
      <c r="A7" s="265" t="s">
        <v>360</v>
      </c>
    </row>
    <row r="8" ht="15.75">
      <c r="A8" s="264"/>
    </row>
    <row r="9" ht="15.75">
      <c r="A9" s="264"/>
    </row>
    <row r="10" ht="63">
      <c r="A10" s="265" t="s">
        <v>361</v>
      </c>
    </row>
    <row r="11" ht="15.75">
      <c r="A11" s="623"/>
    </row>
    <row r="12" ht="15.75">
      <c r="A12" s="264"/>
    </row>
    <row r="13" ht="47.25">
      <c r="A13" s="265" t="s">
        <v>362</v>
      </c>
    </row>
    <row r="14" ht="15.75">
      <c r="A14" s="623"/>
    </row>
    <row r="15" ht="15.75">
      <c r="A15" s="264"/>
    </row>
    <row r="16" ht="47.25">
      <c r="A16" s="265" t="s">
        <v>363</v>
      </c>
    </row>
    <row r="17" ht="15.75">
      <c r="A17" s="623"/>
    </row>
    <row r="18" ht="15.75">
      <c r="A18" s="623"/>
    </row>
    <row r="19" ht="47.25">
      <c r="A19" s="265" t="s">
        <v>364</v>
      </c>
    </row>
    <row r="20" ht="15.75">
      <c r="A20" s="623"/>
    </row>
    <row r="21" ht="15.75">
      <c r="A21" s="623"/>
    </row>
    <row r="22" ht="47.25">
      <c r="A22" s="265" t="s">
        <v>365</v>
      </c>
    </row>
    <row r="23" ht="15.75">
      <c r="A23" s="623"/>
    </row>
    <row r="24" ht="15.75">
      <c r="A24" s="623"/>
    </row>
    <row r="25" ht="31.5">
      <c r="A25" s="265" t="s">
        <v>366</v>
      </c>
    </row>
    <row r="26" ht="15.75">
      <c r="A26" s="264"/>
    </row>
    <row r="27" ht="15.75">
      <c r="A27" s="264"/>
    </row>
    <row r="28" ht="60">
      <c r="A28" s="624" t="s">
        <v>367</v>
      </c>
    </row>
    <row r="29" ht="15">
      <c r="A29" s="625"/>
    </row>
    <row r="30" ht="15">
      <c r="A30" s="625"/>
    </row>
    <row r="31" ht="47.25">
      <c r="A31" s="265" t="s">
        <v>368</v>
      </c>
    </row>
    <row r="32" ht="15.75">
      <c r="A32" s="264"/>
    </row>
    <row r="33" ht="15.75">
      <c r="A33" s="264"/>
    </row>
    <row r="34" ht="66.75" customHeight="1">
      <c r="A34" s="626" t="s">
        <v>640</v>
      </c>
    </row>
    <row r="35" ht="15.75">
      <c r="A35" s="264"/>
    </row>
    <row r="36" ht="15.75">
      <c r="A36" s="264"/>
    </row>
    <row r="37" ht="63">
      <c r="A37" s="627" t="s">
        <v>369</v>
      </c>
    </row>
    <row r="38" ht="15.75">
      <c r="A38" s="623"/>
    </row>
    <row r="39" ht="15.75">
      <c r="A39" s="264"/>
    </row>
    <row r="40" ht="63">
      <c r="A40" s="265" t="s">
        <v>370</v>
      </c>
    </row>
    <row r="41" ht="15.75">
      <c r="A41" s="623"/>
    </row>
    <row r="42" ht="15.75">
      <c r="A42" s="623"/>
    </row>
    <row r="43" ht="82.5" customHeight="1">
      <c r="A43" s="628" t="s">
        <v>641</v>
      </c>
    </row>
    <row r="44" ht="15.75">
      <c r="A44" s="623"/>
    </row>
    <row r="45" ht="15.75">
      <c r="A45" s="623"/>
    </row>
    <row r="46" ht="69" customHeight="1">
      <c r="A46" s="628" t="s">
        <v>642</v>
      </c>
    </row>
    <row r="47" ht="15.75">
      <c r="A47" s="623"/>
    </row>
    <row r="48" ht="15.75">
      <c r="A48" s="623"/>
    </row>
    <row r="49" ht="69" customHeight="1">
      <c r="A49" s="628" t="s">
        <v>643</v>
      </c>
    </row>
    <row r="50" ht="15.75">
      <c r="A50" s="623"/>
    </row>
    <row r="51" ht="15.75">
      <c r="A51" s="623"/>
    </row>
    <row r="52" ht="54.75" customHeight="1">
      <c r="A52" s="628" t="s">
        <v>863</v>
      </c>
    </row>
    <row r="53" ht="15.75">
      <c r="A53" s="623"/>
    </row>
    <row r="54" ht="15.75">
      <c r="A54" s="623"/>
    </row>
    <row r="55" ht="63">
      <c r="A55" s="265" t="s">
        <v>371</v>
      </c>
    </row>
    <row r="56" ht="15.75">
      <c r="A56" s="623"/>
    </row>
    <row r="57" ht="15.75">
      <c r="A57" s="623"/>
    </row>
    <row r="58" ht="63">
      <c r="A58" s="265" t="s">
        <v>372</v>
      </c>
    </row>
    <row r="59" ht="15.75">
      <c r="A59" s="623"/>
    </row>
    <row r="60" ht="15.75">
      <c r="A60" s="623"/>
    </row>
    <row r="61" ht="47.25">
      <c r="A61" s="265" t="s">
        <v>373</v>
      </c>
    </row>
    <row r="62" ht="15.75">
      <c r="A62" s="623"/>
    </row>
    <row r="63" ht="15.75">
      <c r="A63" s="623"/>
    </row>
    <row r="64" ht="47.25">
      <c r="A64" s="265" t="s">
        <v>374</v>
      </c>
    </row>
    <row r="65" ht="15.75">
      <c r="A65" s="623"/>
    </row>
    <row r="66" ht="15.75">
      <c r="A66" s="623"/>
    </row>
    <row r="67" ht="78.75">
      <c r="A67" s="265" t="s">
        <v>375</v>
      </c>
    </row>
    <row r="68" ht="15">
      <c r="A68" s="62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2015-09-16T16:06:03Z</cp:lastPrinted>
  <dcterms:created xsi:type="dcterms:W3CDTF">1999-08-03T13:11:47Z</dcterms:created>
  <dcterms:modified xsi:type="dcterms:W3CDTF">2016-06-05T14:33:20Z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